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2" activeTab="0"/>
  </bookViews>
  <sheets>
    <sheet name="лист1  " sheetId="1" r:id="rId1"/>
    <sheet name="лист 2" sheetId="2" r:id="rId2"/>
    <sheet name="Лист3 " sheetId="3" r:id="rId3"/>
    <sheet name="услуга" sheetId="4" r:id="rId4"/>
    <sheet name="услуга на плановый год" sheetId="5" r:id="rId5"/>
  </sheets>
  <definedNames>
    <definedName name="_xlnm.Print_Titles" localSheetId="1">'лист 2'!$6:$12</definedName>
    <definedName name="_xlnm.Print_Titles" localSheetId="0">'лист1  '!$7:$14</definedName>
    <definedName name="_xlnm.Print_Area" localSheetId="1">'лист 2'!$A$1:$P$45</definedName>
    <definedName name="_xlnm.Print_Area" localSheetId="0">'лист1  '!$A$1:$P$53</definedName>
    <definedName name="_xlnm.Print_Area" localSheetId="2">'Лист3 '!$A$1:$T$50</definedName>
  </definedNames>
  <calcPr fullCalcOnLoad="1"/>
</workbook>
</file>

<file path=xl/sharedStrings.xml><?xml version="1.0" encoding="utf-8"?>
<sst xmlns="http://schemas.openxmlformats.org/spreadsheetml/2006/main" count="196" uniqueCount="110">
  <si>
    <t>Наименование услуги</t>
  </si>
  <si>
    <t>Затраты на оплату труда и начисления на оплату труда</t>
  </si>
  <si>
    <t xml:space="preserve">Затраты на стипендию </t>
  </si>
  <si>
    <t>Затраты на расходные материалы</t>
  </si>
  <si>
    <t>Наименование муниципальной услуги</t>
  </si>
  <si>
    <t xml:space="preserve">Затраты на приобретение расходных материалов </t>
  </si>
  <si>
    <t xml:space="preserve">Затраты на коммунальные услуги </t>
  </si>
  <si>
    <t>Затраты на общехозяйственные расходы</t>
  </si>
  <si>
    <t>Итого затраты на муниципальную услугу</t>
  </si>
  <si>
    <t xml:space="preserve">Объем муниципальной услуги </t>
  </si>
  <si>
    <t xml:space="preserve">Норматив затрат на единицу оказания государственной услуги </t>
  </si>
  <si>
    <t>Затраты на содержание имущества муниципального бюджетного учреждения</t>
  </si>
  <si>
    <t>тыс.руб.</t>
  </si>
  <si>
    <t>ед.</t>
  </si>
  <si>
    <t xml:space="preserve">Затраты на общехозяйственные нужды </t>
  </si>
  <si>
    <t>Итого затраты на услугу</t>
  </si>
  <si>
    <t xml:space="preserve">Объем услуги </t>
  </si>
  <si>
    <t xml:space="preserve">Норматив затрат на единицу услуги </t>
  </si>
  <si>
    <t>%</t>
  </si>
  <si>
    <t>12=2+4+6+8+10</t>
  </si>
  <si>
    <t>14=12/13</t>
  </si>
  <si>
    <t>на потребление эл.энергии</t>
  </si>
  <si>
    <t>2012 год</t>
  </si>
  <si>
    <t>2009 год</t>
  </si>
  <si>
    <t>2010 год</t>
  </si>
  <si>
    <t>2011год</t>
  </si>
  <si>
    <t>на водоснабжение</t>
  </si>
  <si>
    <t>на водоотведение</t>
  </si>
  <si>
    <t>горячее водоснабжение</t>
  </si>
  <si>
    <t>тепловая энергия( в т.ч. газ)</t>
  </si>
  <si>
    <t>пожарная сигнализация</t>
  </si>
  <si>
    <t>обеспечение охранной сигнализации</t>
  </si>
  <si>
    <t>текущий ремонт</t>
  </si>
  <si>
    <t xml:space="preserve">капитальный ремонт </t>
  </si>
  <si>
    <t>вывоз ТБО</t>
  </si>
  <si>
    <t>текущий ремонт автотранспорта</t>
  </si>
  <si>
    <t>обязательное страхование гражд.ответственности владельцев транспортных средств</t>
  </si>
  <si>
    <t>транспортный налог</t>
  </si>
  <si>
    <t>налог на землю</t>
  </si>
  <si>
    <t>налог на имущество</t>
  </si>
  <si>
    <t>Расходы</t>
  </si>
  <si>
    <t>Итого : Рни</t>
  </si>
  <si>
    <t>Содержание недвижемого имущества (Рни) :</t>
  </si>
  <si>
    <t>Содержание движемого имущества (Рди) :</t>
  </si>
  <si>
    <t>Приобретение множительн.техники</t>
  </si>
  <si>
    <t xml:space="preserve">приобретение мебели </t>
  </si>
  <si>
    <t>Итого : Рди</t>
  </si>
  <si>
    <t>Налоги (Рнал) :</t>
  </si>
  <si>
    <t>Итого: Рнал</t>
  </si>
  <si>
    <t>Материально техническая база (Рмтб):</t>
  </si>
  <si>
    <t>Итого : Рмтб</t>
  </si>
  <si>
    <t>приобретение оборудования</t>
  </si>
  <si>
    <t>промывка и опресовка отопления</t>
  </si>
  <si>
    <t>испытание и измерение сопротивления</t>
  </si>
  <si>
    <t>техобслуж.,диагностика транспортных средств</t>
  </si>
  <si>
    <t>тех.осмотры,госпошлины</t>
  </si>
  <si>
    <t>запасные части к автотранспорту,тосол и др.</t>
  </si>
  <si>
    <t>Всего расчетно-нормативных затрат на содердание имущества (Ри) =Рни+Рди+Рнал+Рмтб</t>
  </si>
  <si>
    <t>Итого:</t>
  </si>
  <si>
    <t>8=6/7</t>
  </si>
  <si>
    <t>Выделено средств по бюджету</t>
  </si>
  <si>
    <t>текущий ремонт оборудования,инвентаря,заправка картр.</t>
  </si>
  <si>
    <t>Затраты на стипендию</t>
  </si>
  <si>
    <t>в том чмсле :</t>
  </si>
  <si>
    <t>Расчетно-нормативные затраты на содержание имущества СОШ №10</t>
  </si>
  <si>
    <t>СОШ №10</t>
  </si>
  <si>
    <t>Предоставление начального общего,основного общего и среднего (полного общего образования</t>
  </si>
  <si>
    <t>Предоставление начального общего,основного общего и среднего (полного) общего образования</t>
  </si>
  <si>
    <t>2009год</t>
  </si>
  <si>
    <t>модернизация автобусов</t>
  </si>
  <si>
    <t>дератизация,дезинфекция</t>
  </si>
  <si>
    <t>изготовление проектно-сметной документации</t>
  </si>
  <si>
    <t xml:space="preserve">2011 год </t>
  </si>
  <si>
    <t>2013 год</t>
  </si>
  <si>
    <t xml:space="preserve">2010  год  </t>
  </si>
  <si>
    <t xml:space="preserve">2009 год </t>
  </si>
  <si>
    <t xml:space="preserve">2010 год </t>
  </si>
  <si>
    <t xml:space="preserve">Гл. бухгалтер </t>
  </si>
  <si>
    <t>район</t>
  </si>
  <si>
    <t xml:space="preserve">                                                 </t>
  </si>
  <si>
    <t>Наим.учреждения</t>
  </si>
  <si>
    <t>ВСЕГО:</t>
  </si>
  <si>
    <t>ДОЛЯ</t>
  </si>
  <si>
    <t>УСЛУГА</t>
  </si>
  <si>
    <t>сш №10</t>
  </si>
  <si>
    <t>водоснабжение</t>
  </si>
  <si>
    <t>водоотведение</t>
  </si>
  <si>
    <t>электроэнергия</t>
  </si>
  <si>
    <t>тепловая энергия</t>
  </si>
  <si>
    <t>ИТОГО:</t>
  </si>
  <si>
    <t>гланаз</t>
  </si>
  <si>
    <t>Шульга Е.А.</t>
  </si>
  <si>
    <t>Иванко Т.Е.</t>
  </si>
  <si>
    <t>2014 год</t>
  </si>
  <si>
    <t>2013 год (первый год планового периода)</t>
  </si>
  <si>
    <t>2014 год (второй год планового периода)</t>
  </si>
  <si>
    <t xml:space="preserve">2012 год </t>
  </si>
  <si>
    <t>2013 год (первый  год планового периода)</t>
  </si>
  <si>
    <t>2014год (второй год планового периода)</t>
  </si>
  <si>
    <t>Директор МБОУ СОШ№10</t>
  </si>
  <si>
    <t>2015 год</t>
  </si>
  <si>
    <t>Расшифровка  КОСГУ 223 "Коммунальные услуги" МБОУ СОШ № 10 на 29.12.2012</t>
  </si>
  <si>
    <t xml:space="preserve">Директор МБОУ СОШ № 10 </t>
  </si>
  <si>
    <t>2015год (третий год планового периода)</t>
  </si>
  <si>
    <t>2015 год (третий год планового периода)</t>
  </si>
  <si>
    <t>Исходные данные и результаты расчетов объема расчетно-нормативныз затрат на оказание Управлением образования администрации муниципального образования Тимашевский район  МБОУ СОШ № 10 муниципальных услуг (выполнение работ) и расчетно-нормативных затрат на содоержание имущества муниципальных бюджетных учреждений муниципального образования Тимашевский район на 2012 год и на плановый период 2013-2015 годы на 29.12.2012</t>
  </si>
  <si>
    <t>Определение норматива затрат на оказание муниципальной услуги  Управлением образования администрации муниципального образования Тимашевский район  МБОУ СОШ № 10 на 2012 год и плановый период 2013-2015 годы  на 29.12.2012</t>
  </si>
  <si>
    <t>Расчетно-нормативные затраты на содержание имущества МБОУ СОШ № 10 на 2010-2015 годы уточненный на 29.12.2012</t>
  </si>
  <si>
    <t>газ</t>
  </si>
  <si>
    <t>Реализация общеобразовательных программ начального общего,основного общего и среднего (полного общего образования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</si>
</sst>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#,##0.0"/>
    <numFmt numFmtId="191" formatCode="[$-FC19]d\ mmmm\ yyyy\ &quot;г.&quot;"/>
  </numFmts>
  <fonts count="5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180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180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189" fontId="5" fillId="0" borderId="1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0" fontId="5" fillId="0" borderId="10" xfId="57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80" fontId="5" fillId="33" borderId="16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8" borderId="10" xfId="0" applyFont="1" applyFill="1" applyBorder="1" applyAlignment="1">
      <alignment horizontal="center" wrapText="1"/>
    </xf>
    <xf numFmtId="180" fontId="5" fillId="8" borderId="16" xfId="0" applyNumberFormat="1" applyFont="1" applyFill="1" applyBorder="1" applyAlignment="1">
      <alignment horizontal="center"/>
    </xf>
    <xf numFmtId="180" fontId="5" fillId="8" borderId="12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1" fontId="5" fillId="8" borderId="10" xfId="0" applyNumberFormat="1" applyFont="1" applyFill="1" applyBorder="1" applyAlignment="1">
      <alignment horizontal="center"/>
    </xf>
    <xf numFmtId="180" fontId="5" fillId="8" borderId="11" xfId="0" applyNumberFormat="1" applyFont="1" applyFill="1" applyBorder="1" applyAlignment="1">
      <alignment horizontal="center"/>
    </xf>
    <xf numFmtId="180" fontId="5" fillId="8" borderId="10" xfId="0" applyNumberFormat="1" applyFont="1" applyFill="1" applyBorder="1" applyAlignment="1">
      <alignment/>
    </xf>
    <xf numFmtId="180" fontId="5" fillId="8" borderId="10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2" fontId="0" fillId="8" borderId="10" xfId="0" applyNumberFormat="1" applyFill="1" applyBorder="1" applyAlignment="1">
      <alignment/>
    </xf>
    <xf numFmtId="0" fontId="3" fillId="8" borderId="10" xfId="0" applyFont="1" applyFill="1" applyBorder="1" applyAlignment="1">
      <alignment/>
    </xf>
    <xf numFmtId="180" fontId="2" fillId="8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80" fontId="5" fillId="34" borderId="16" xfId="0" applyNumberFormat="1" applyFont="1" applyFill="1" applyBorder="1" applyAlignment="1">
      <alignment horizontal="center"/>
    </xf>
    <xf numFmtId="180" fontId="5" fillId="34" borderId="12" xfId="0" applyNumberFormat="1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80" fontId="5" fillId="34" borderId="11" xfId="0" applyNumberFormat="1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80" fontId="0" fillId="34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80" fontId="9" fillId="0" borderId="11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3" fillId="35" borderId="10" xfId="0" applyFont="1" applyFill="1" applyBorder="1" applyAlignment="1">
      <alignment/>
    </xf>
    <xf numFmtId="180" fontId="13" fillId="35" borderId="11" xfId="0" applyNumberFormat="1" applyFont="1" applyFill="1" applyBorder="1" applyAlignment="1">
      <alignment/>
    </xf>
    <xf numFmtId="180" fontId="13" fillId="35" borderId="10" xfId="0" applyNumberFormat="1" applyFont="1" applyFill="1" applyBorder="1" applyAlignment="1">
      <alignment/>
    </xf>
    <xf numFmtId="180" fontId="10" fillId="35" borderId="10" xfId="0" applyNumberFormat="1" applyFont="1" applyFill="1" applyBorder="1" applyAlignment="1">
      <alignment/>
    </xf>
    <xf numFmtId="2" fontId="13" fillId="35" borderId="10" xfId="0" applyNumberFormat="1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51" fillId="8" borderId="10" xfId="0" applyFont="1" applyFill="1" applyBorder="1" applyAlignment="1">
      <alignment/>
    </xf>
    <xf numFmtId="180" fontId="51" fillId="8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8" borderId="10" xfId="0" applyFont="1" applyFill="1" applyBorder="1" applyAlignment="1">
      <alignment horizontal="center"/>
    </xf>
    <xf numFmtId="180" fontId="52" fillId="8" borderId="11" xfId="0" applyNumberFormat="1" applyFont="1" applyFill="1" applyBorder="1" applyAlignment="1">
      <alignment horizontal="center"/>
    </xf>
    <xf numFmtId="180" fontId="52" fillId="8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0" fontId="52" fillId="8" borderId="16" xfId="0" applyNumberFormat="1" applyFont="1" applyFill="1" applyBorder="1" applyAlignment="1">
      <alignment horizontal="center"/>
    </xf>
    <xf numFmtId="2" fontId="52" fillId="8" borderId="11" xfId="0" applyNumberFormat="1" applyFont="1" applyFill="1" applyBorder="1" applyAlignment="1">
      <alignment horizontal="center"/>
    </xf>
    <xf numFmtId="2" fontId="52" fillId="8" borderId="12" xfId="0" applyNumberFormat="1" applyFont="1" applyFill="1" applyBorder="1" applyAlignment="1">
      <alignment horizontal="center"/>
    </xf>
    <xf numFmtId="180" fontId="52" fillId="8" borderId="12" xfId="0" applyNumberFormat="1" applyFont="1" applyFill="1" applyBorder="1" applyAlignment="1">
      <alignment horizontal="center"/>
    </xf>
    <xf numFmtId="2" fontId="52" fillId="8" borderId="10" xfId="0" applyNumberFormat="1" applyFont="1" applyFill="1" applyBorder="1" applyAlignment="1">
      <alignment horizontal="center"/>
    </xf>
    <xf numFmtId="0" fontId="51" fillId="8" borderId="16" xfId="0" applyFont="1" applyFill="1" applyBorder="1" applyAlignment="1">
      <alignment horizontal="center"/>
    </xf>
    <xf numFmtId="180" fontId="51" fillId="8" borderId="12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center"/>
    </xf>
    <xf numFmtId="180" fontId="51" fillId="8" borderId="10" xfId="0" applyNumberFormat="1" applyFont="1" applyFill="1" applyBorder="1" applyAlignment="1">
      <alignment horizontal="center"/>
    </xf>
    <xf numFmtId="0" fontId="52" fillId="8" borderId="11" xfId="0" applyFont="1" applyFill="1" applyBorder="1" applyAlignment="1">
      <alignment horizontal="center"/>
    </xf>
    <xf numFmtId="0" fontId="52" fillId="8" borderId="12" xfId="0" applyFont="1" applyFill="1" applyBorder="1" applyAlignment="1">
      <alignment horizontal="center"/>
    </xf>
    <xf numFmtId="180" fontId="5" fillId="34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5" fillId="34" borderId="11" xfId="0" applyNumberFormat="1" applyFont="1" applyFill="1" applyBorder="1" applyAlignment="1">
      <alignment horizontal="center"/>
    </xf>
    <xf numFmtId="188" fontId="10" fillId="35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8" borderId="2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2" xfId="0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80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1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2" fontId="51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180" fontId="2" fillId="34" borderId="11" xfId="0" applyNumberFormat="1" applyFont="1" applyFill="1" applyBorder="1" applyAlignment="1">
      <alignment/>
    </xf>
    <xf numFmtId="180" fontId="4" fillId="34" borderId="21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80" fontId="2" fillId="0" borderId="11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2" fontId="51" fillId="34" borderId="11" xfId="0" applyNumberFormat="1" applyFont="1" applyFill="1" applyBorder="1" applyAlignment="1">
      <alignment horizontal="left" indent="1"/>
    </xf>
    <xf numFmtId="0" fontId="5" fillId="0" borderId="11" xfId="0" applyFont="1" applyBorder="1" applyAlignment="1">
      <alignment horizontal="center" wrapText="1"/>
    </xf>
    <xf numFmtId="180" fontId="5" fillId="0" borderId="12" xfId="0" applyNumberFormat="1" applyFont="1" applyBorder="1" applyAlignment="1">
      <alignment/>
    </xf>
    <xf numFmtId="2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180" fontId="5" fillId="0" borderId="2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180" fontId="0" fillId="0" borderId="11" xfId="0" applyNumberFormat="1" applyBorder="1" applyAlignment="1">
      <alignment horizontal="center"/>
    </xf>
    <xf numFmtId="180" fontId="52" fillId="8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5" fillId="0" borderId="2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2" fontId="5" fillId="8" borderId="11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189" fontId="5" fillId="8" borderId="10" xfId="0" applyNumberFormat="1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10" fontId="5" fillId="8" borderId="10" xfId="57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/>
    </xf>
    <xf numFmtId="10" fontId="5" fillId="34" borderId="10" xfId="57" applyNumberFormat="1" applyFont="1" applyFill="1" applyBorder="1" applyAlignment="1">
      <alignment horizontal="center"/>
    </xf>
    <xf numFmtId="2" fontId="5" fillId="0" borderId="10" xfId="57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2" fillId="8" borderId="11" xfId="0" applyNumberFormat="1" applyFont="1" applyFill="1" applyBorder="1" applyAlignment="1">
      <alignment horizontal="center"/>
    </xf>
    <xf numFmtId="2" fontId="52" fillId="8" borderId="12" xfId="0" applyNumberFormat="1" applyFont="1" applyFill="1" applyBorder="1" applyAlignment="1">
      <alignment horizontal="center"/>
    </xf>
    <xf numFmtId="2" fontId="5" fillId="8" borderId="11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8" borderId="11" xfId="0" applyFont="1" applyFill="1" applyBorder="1" applyAlignment="1">
      <alignment horizontal="center"/>
    </xf>
    <xf numFmtId="0" fontId="51" fillId="8" borderId="12" xfId="0" applyFont="1" applyFill="1" applyBorder="1" applyAlignment="1">
      <alignment horizontal="center"/>
    </xf>
    <xf numFmtId="0" fontId="52" fillId="8" borderId="11" xfId="0" applyFont="1" applyFill="1" applyBorder="1" applyAlignment="1">
      <alignment horizontal="center"/>
    </xf>
    <xf numFmtId="0" fontId="52" fillId="8" borderId="12" xfId="0" applyFont="1" applyFill="1" applyBorder="1" applyAlignment="1">
      <alignment horizontal="center"/>
    </xf>
    <xf numFmtId="2" fontId="51" fillId="8" borderId="11" xfId="0" applyNumberFormat="1" applyFont="1" applyFill="1" applyBorder="1" applyAlignment="1">
      <alignment horizontal="center"/>
    </xf>
    <xf numFmtId="2" fontId="51" fillId="8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145" zoomScaleSheetLayoutView="145" zoomScalePageLayoutView="0" workbookViewId="0" topLeftCell="C1">
      <selection activeCell="P7" sqref="P7:P12"/>
    </sheetView>
  </sheetViews>
  <sheetFormatPr defaultColWidth="9.140625" defaultRowHeight="12.75"/>
  <cols>
    <col min="1" max="1" width="31.28125" style="0" customWidth="1"/>
    <col min="4" max="4" width="0" style="0" hidden="1" customWidth="1"/>
    <col min="6" max="6" width="6.140625" style="0" customWidth="1"/>
    <col min="8" max="8" width="5.7109375" style="0" customWidth="1"/>
    <col min="9" max="9" width="9.00390625" style="0" customWidth="1"/>
    <col min="10" max="10" width="3.57421875" style="0" customWidth="1"/>
    <col min="11" max="11" width="10.57421875" style="0" hidden="1" customWidth="1"/>
    <col min="12" max="12" width="11.57421875" style="0" customWidth="1"/>
    <col min="13" max="13" width="11.28125" style="0" bestFit="1" customWidth="1"/>
    <col min="14" max="14" width="12.28125" style="175" customWidth="1"/>
    <col min="15" max="15" width="14.7109375" style="0" customWidth="1"/>
    <col min="16" max="16" width="10.28125" style="0" customWidth="1"/>
    <col min="18" max="18" width="10.00390625" style="0" bestFit="1" customWidth="1"/>
  </cols>
  <sheetData>
    <row r="1" spans="1:16" ht="12.75" customHeight="1">
      <c r="A1" s="247" t="s">
        <v>105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7"/>
    </row>
    <row r="2" spans="1:16" ht="12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7"/>
    </row>
    <row r="3" spans="1:16" ht="12.7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7"/>
    </row>
    <row r="4" spans="1:15" ht="12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7" spans="1:16" ht="12.75" customHeight="1">
      <c r="A7" s="234" t="s">
        <v>4</v>
      </c>
      <c r="B7" s="235" t="s">
        <v>1</v>
      </c>
      <c r="C7" s="236"/>
      <c r="D7" s="248" t="s">
        <v>62</v>
      </c>
      <c r="E7" s="235" t="s">
        <v>5</v>
      </c>
      <c r="F7" s="236"/>
      <c r="G7" s="235" t="s">
        <v>6</v>
      </c>
      <c r="H7" s="236"/>
      <c r="I7" s="235" t="s">
        <v>7</v>
      </c>
      <c r="J7" s="236"/>
      <c r="K7" s="7"/>
      <c r="L7" s="234" t="s">
        <v>8</v>
      </c>
      <c r="M7" s="234" t="s">
        <v>9</v>
      </c>
      <c r="N7" s="241" t="s">
        <v>10</v>
      </c>
      <c r="O7" s="234" t="s">
        <v>11</v>
      </c>
      <c r="P7" s="233" t="s">
        <v>60</v>
      </c>
    </row>
    <row r="8" spans="1:16" ht="12.75">
      <c r="A8" s="234"/>
      <c r="B8" s="237"/>
      <c r="C8" s="238"/>
      <c r="D8" s="249"/>
      <c r="E8" s="237"/>
      <c r="F8" s="238"/>
      <c r="G8" s="237"/>
      <c r="H8" s="238"/>
      <c r="I8" s="237"/>
      <c r="J8" s="238"/>
      <c r="K8" s="8"/>
      <c r="L8" s="234"/>
      <c r="M8" s="234"/>
      <c r="N8" s="241"/>
      <c r="O8" s="234"/>
      <c r="P8" s="233"/>
    </row>
    <row r="9" spans="1:16" ht="12.75">
      <c r="A9" s="234"/>
      <c r="B9" s="237"/>
      <c r="C9" s="238"/>
      <c r="D9" s="249"/>
      <c r="E9" s="237"/>
      <c r="F9" s="238"/>
      <c r="G9" s="237"/>
      <c r="H9" s="238"/>
      <c r="I9" s="237"/>
      <c r="J9" s="238"/>
      <c r="K9" s="8"/>
      <c r="L9" s="234"/>
      <c r="M9" s="234"/>
      <c r="N9" s="241"/>
      <c r="O9" s="234"/>
      <c r="P9" s="233"/>
    </row>
    <row r="10" spans="1:16" ht="12.75">
      <c r="A10" s="234"/>
      <c r="B10" s="237"/>
      <c r="C10" s="238"/>
      <c r="D10" s="249"/>
      <c r="E10" s="237"/>
      <c r="F10" s="238"/>
      <c r="G10" s="237"/>
      <c r="H10" s="238"/>
      <c r="I10" s="237"/>
      <c r="J10" s="238"/>
      <c r="K10" s="8"/>
      <c r="L10" s="234"/>
      <c r="M10" s="234"/>
      <c r="N10" s="241"/>
      <c r="O10" s="234"/>
      <c r="P10" s="233"/>
    </row>
    <row r="11" spans="1:16" ht="12.75">
      <c r="A11" s="234"/>
      <c r="B11" s="237"/>
      <c r="C11" s="238"/>
      <c r="D11" s="249"/>
      <c r="E11" s="237"/>
      <c r="F11" s="238"/>
      <c r="G11" s="237"/>
      <c r="H11" s="238"/>
      <c r="I11" s="237"/>
      <c r="J11" s="238"/>
      <c r="K11" s="8"/>
      <c r="L11" s="234"/>
      <c r="M11" s="234"/>
      <c r="N11" s="241"/>
      <c r="O11" s="234"/>
      <c r="P11" s="233"/>
    </row>
    <row r="12" spans="1:16" ht="12.75">
      <c r="A12" s="234"/>
      <c r="B12" s="239"/>
      <c r="C12" s="240"/>
      <c r="D12" s="250"/>
      <c r="E12" s="239"/>
      <c r="F12" s="240"/>
      <c r="G12" s="239"/>
      <c r="H12" s="240"/>
      <c r="I12" s="239"/>
      <c r="J12" s="240"/>
      <c r="K12" s="9"/>
      <c r="L12" s="234"/>
      <c r="M12" s="234"/>
      <c r="N12" s="241"/>
      <c r="O12" s="234"/>
      <c r="P12" s="233"/>
    </row>
    <row r="13" spans="1:16" ht="12.75">
      <c r="A13" s="2"/>
      <c r="B13" s="242" t="s">
        <v>12</v>
      </c>
      <c r="C13" s="243"/>
      <c r="D13" s="16" t="s">
        <v>12</v>
      </c>
      <c r="E13" s="242" t="s">
        <v>12</v>
      </c>
      <c r="F13" s="243"/>
      <c r="G13" s="242" t="s">
        <v>12</v>
      </c>
      <c r="H13" s="243"/>
      <c r="I13" s="242" t="s">
        <v>12</v>
      </c>
      <c r="J13" s="243"/>
      <c r="K13" s="4"/>
      <c r="L13" s="1" t="s">
        <v>12</v>
      </c>
      <c r="M13" s="4" t="s">
        <v>13</v>
      </c>
      <c r="N13" s="173" t="s">
        <v>12</v>
      </c>
      <c r="O13" s="3" t="s">
        <v>12</v>
      </c>
      <c r="P13" s="2"/>
    </row>
    <row r="14" spans="1:16" ht="12.75">
      <c r="A14" s="1">
        <v>1</v>
      </c>
      <c r="B14" s="220">
        <v>2</v>
      </c>
      <c r="C14" s="220"/>
      <c r="D14" s="1"/>
      <c r="E14" s="220">
        <v>3</v>
      </c>
      <c r="F14" s="220"/>
      <c r="G14" s="220">
        <v>4</v>
      </c>
      <c r="H14" s="220"/>
      <c r="I14" s="220">
        <v>5</v>
      </c>
      <c r="J14" s="220"/>
      <c r="K14" s="1"/>
      <c r="L14" s="1">
        <v>6</v>
      </c>
      <c r="M14" s="1">
        <v>7</v>
      </c>
      <c r="N14" s="15" t="s">
        <v>59</v>
      </c>
      <c r="O14" s="3">
        <v>9</v>
      </c>
      <c r="P14" s="2"/>
    </row>
    <row r="15" spans="1:16" ht="12.75" customHeight="1" hidden="1">
      <c r="A15" s="244" t="s">
        <v>23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</row>
    <row r="16" spans="1:16" ht="51" hidden="1">
      <c r="A16" s="18" t="s">
        <v>66</v>
      </c>
      <c r="B16" s="204">
        <f>B18</f>
        <v>14143</v>
      </c>
      <c r="C16" s="195"/>
      <c r="D16" s="26" t="e">
        <f>#REF!+#REF!+#REF!</f>
        <v>#REF!</v>
      </c>
      <c r="E16" s="204">
        <f>E18</f>
        <v>156</v>
      </c>
      <c r="F16" s="195"/>
      <c r="G16" s="204">
        <f>G18</f>
        <v>337.9</v>
      </c>
      <c r="H16" s="195"/>
      <c r="I16" s="194">
        <f>I18</f>
        <v>1687.2</v>
      </c>
      <c r="J16" s="195"/>
      <c r="K16" s="21" t="e">
        <f>#REF!+#REF!+#REF!</f>
        <v>#REF!</v>
      </c>
      <c r="L16" s="22">
        <f>B16+E16+G16+I16</f>
        <v>16324.1</v>
      </c>
      <c r="M16" s="31">
        <f>M18</f>
        <v>591</v>
      </c>
      <c r="N16" s="23">
        <f>L16/M16</f>
        <v>27.621150592216583</v>
      </c>
      <c r="O16" s="32">
        <f>O18</f>
        <v>638.2</v>
      </c>
      <c r="P16" s="12">
        <f>L16+O16</f>
        <v>16962.3</v>
      </c>
    </row>
    <row r="17" spans="1:16" ht="12.75" hidden="1">
      <c r="A17" s="18" t="s">
        <v>63</v>
      </c>
      <c r="B17" s="194"/>
      <c r="C17" s="195"/>
      <c r="D17" s="26"/>
      <c r="E17" s="194"/>
      <c r="F17" s="195"/>
      <c r="G17" s="194"/>
      <c r="H17" s="195"/>
      <c r="I17" s="194"/>
      <c r="J17" s="195"/>
      <c r="K17" s="21"/>
      <c r="L17" s="22">
        <f>B17+E17+G17+I17</f>
        <v>0</v>
      </c>
      <c r="M17" s="22"/>
      <c r="N17" s="23"/>
      <c r="O17" s="32"/>
      <c r="P17" s="12"/>
    </row>
    <row r="18" spans="1:16" ht="12.75" hidden="1">
      <c r="A18" s="18" t="s">
        <v>65</v>
      </c>
      <c r="B18" s="204">
        <v>14143</v>
      </c>
      <c r="C18" s="195"/>
      <c r="D18" s="26"/>
      <c r="E18" s="204">
        <v>156</v>
      </c>
      <c r="F18" s="195"/>
      <c r="G18" s="204">
        <v>337.9</v>
      </c>
      <c r="H18" s="195"/>
      <c r="I18" s="194">
        <v>1687.2</v>
      </c>
      <c r="J18" s="195"/>
      <c r="K18" s="21"/>
      <c r="L18" s="23">
        <f>B18+E18+G18+I18</f>
        <v>16324.1</v>
      </c>
      <c r="M18" s="22">
        <v>591</v>
      </c>
      <c r="N18" s="23">
        <f>L18/M18</f>
        <v>27.621150592216583</v>
      </c>
      <c r="O18" s="19">
        <v>638.2</v>
      </c>
      <c r="P18" s="12">
        <f>L18+O18</f>
        <v>16962.3</v>
      </c>
    </row>
    <row r="19" spans="1:16" ht="12.75" hidden="1">
      <c r="A19" s="18"/>
      <c r="B19" s="32"/>
      <c r="C19" s="20"/>
      <c r="D19" s="24"/>
      <c r="E19" s="32"/>
      <c r="F19" s="20"/>
      <c r="G19" s="32"/>
      <c r="H19" s="20"/>
      <c r="I19" s="19"/>
      <c r="J19" s="20"/>
      <c r="K19" s="21"/>
      <c r="L19" s="22"/>
      <c r="M19" s="22"/>
      <c r="N19" s="23"/>
      <c r="O19" s="19"/>
      <c r="P19" s="12"/>
    </row>
    <row r="20" spans="1:16" ht="12.75" customHeight="1" hidden="1">
      <c r="A20" s="207" t="s">
        <v>74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</row>
    <row r="21" spans="1:16" ht="51" hidden="1">
      <c r="A21" s="18" t="s">
        <v>66</v>
      </c>
      <c r="B21" s="227">
        <f>B23</f>
        <v>13897.1</v>
      </c>
      <c r="C21" s="199"/>
      <c r="D21" s="37" t="e">
        <f>#REF!+#REF!+#REF!</f>
        <v>#REF!</v>
      </c>
      <c r="E21" s="227">
        <f>E23</f>
        <v>244.8</v>
      </c>
      <c r="F21" s="199"/>
      <c r="G21" s="227">
        <f>G23</f>
        <v>467.5</v>
      </c>
      <c r="H21" s="199"/>
      <c r="I21" s="204">
        <f>I23</f>
        <v>1591.900000000001</v>
      </c>
      <c r="J21" s="195"/>
      <c r="K21" s="21" t="e">
        <f>#REF!+#REF!+#REF!</f>
        <v>#REF!</v>
      </c>
      <c r="L21" s="22">
        <f>B21+E21+G21+I21</f>
        <v>16201.300000000001</v>
      </c>
      <c r="M21" s="40">
        <f>M23</f>
        <v>620</v>
      </c>
      <c r="N21" s="23">
        <f>L21/M21</f>
        <v>26.131129032258066</v>
      </c>
      <c r="O21" s="38">
        <f>O23</f>
        <v>991.6</v>
      </c>
      <c r="P21" s="41">
        <f>P23</f>
        <v>17192.9</v>
      </c>
    </row>
    <row r="22" spans="1:16" ht="12.75" hidden="1">
      <c r="A22" s="18" t="s">
        <v>63</v>
      </c>
      <c r="B22" s="194"/>
      <c r="C22" s="195"/>
      <c r="D22" s="26"/>
      <c r="E22" s="194"/>
      <c r="F22" s="195"/>
      <c r="G22" s="194"/>
      <c r="H22" s="195"/>
      <c r="I22" s="194"/>
      <c r="J22" s="195"/>
      <c r="K22" s="21"/>
      <c r="L22" s="22">
        <f>B22+E22+G22+I22</f>
        <v>0</v>
      </c>
      <c r="M22" s="22"/>
      <c r="N22" s="23"/>
      <c r="O22" s="32"/>
      <c r="P22" s="12"/>
    </row>
    <row r="23" spans="1:16" ht="12.75" hidden="1">
      <c r="A23" s="18" t="s">
        <v>65</v>
      </c>
      <c r="B23" s="194">
        <v>13897.1</v>
      </c>
      <c r="C23" s="195"/>
      <c r="D23" s="26"/>
      <c r="E23" s="194">
        <v>244.8</v>
      </c>
      <c r="F23" s="195"/>
      <c r="G23" s="45">
        <v>467.5</v>
      </c>
      <c r="H23" s="46"/>
      <c r="I23" s="204">
        <f>P23-B23-E23-G23-O23</f>
        <v>1591.900000000001</v>
      </c>
      <c r="J23" s="195"/>
      <c r="K23" s="21"/>
      <c r="L23" s="23">
        <f>B23+E23+G23+I23</f>
        <v>16201.300000000001</v>
      </c>
      <c r="M23" s="22">
        <v>620</v>
      </c>
      <c r="N23" s="23">
        <f>L23/M23</f>
        <v>26.131129032258066</v>
      </c>
      <c r="O23" s="19">
        <v>991.6</v>
      </c>
      <c r="P23" s="12">
        <v>17192.9</v>
      </c>
    </row>
    <row r="24" spans="1:16" ht="12.75" hidden="1">
      <c r="A24" s="14"/>
      <c r="B24" s="220"/>
      <c r="C24" s="220"/>
      <c r="D24" s="1"/>
      <c r="E24" s="220"/>
      <c r="F24" s="220"/>
      <c r="G24" s="220"/>
      <c r="H24" s="220"/>
      <c r="I24" s="220"/>
      <c r="J24" s="220"/>
      <c r="K24" s="15"/>
      <c r="L24" s="1"/>
      <c r="M24" s="1"/>
      <c r="N24" s="15"/>
      <c r="O24" s="3"/>
      <c r="P24" s="2"/>
    </row>
    <row r="25" spans="1:16" ht="12.75">
      <c r="A25" s="230" t="s">
        <v>72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1:16" ht="54.75" customHeight="1">
      <c r="A26" s="47" t="s">
        <v>66</v>
      </c>
      <c r="B26" s="228">
        <f>B28</f>
        <v>14982.6</v>
      </c>
      <c r="C26" s="229"/>
      <c r="D26" s="48" t="e">
        <f>#REF!+#REF!+#REF!</f>
        <v>#REF!</v>
      </c>
      <c r="E26" s="228">
        <f>E28</f>
        <v>224.523</v>
      </c>
      <c r="F26" s="229"/>
      <c r="G26" s="214">
        <f>G28</f>
        <v>590.4</v>
      </c>
      <c r="H26" s="215"/>
      <c r="I26" s="214">
        <f>I28</f>
        <v>975.0770000000009</v>
      </c>
      <c r="J26" s="215"/>
      <c r="K26" s="49" t="e">
        <f>#REF!+#REF!+#REF!</f>
        <v>#REF!</v>
      </c>
      <c r="L26" s="50">
        <f>B26+E26+G26+I26</f>
        <v>16772.6</v>
      </c>
      <c r="M26" s="51">
        <f>M28</f>
        <v>595</v>
      </c>
      <c r="N26" s="54">
        <f>L26/M26</f>
        <v>28.18924369747899</v>
      </c>
      <c r="O26" s="52">
        <f>O28</f>
        <v>834.8</v>
      </c>
      <c r="P26" s="53">
        <f>P28</f>
        <v>17607.4</v>
      </c>
    </row>
    <row r="27" spans="1:16" ht="12.75">
      <c r="A27" s="47" t="s">
        <v>63</v>
      </c>
      <c r="B27" s="228"/>
      <c r="C27" s="229"/>
      <c r="D27" s="48"/>
      <c r="E27" s="228"/>
      <c r="F27" s="229"/>
      <c r="G27" s="214"/>
      <c r="H27" s="215"/>
      <c r="I27" s="214"/>
      <c r="J27" s="215"/>
      <c r="K27" s="49"/>
      <c r="L27" s="50">
        <f>B27+E27+G27+I27</f>
        <v>0</v>
      </c>
      <c r="M27" s="50"/>
      <c r="N27" s="54"/>
      <c r="O27" s="52"/>
      <c r="P27" s="53"/>
    </row>
    <row r="28" spans="1:16" ht="12.75">
      <c r="A28" s="47" t="s">
        <v>65</v>
      </c>
      <c r="B28" s="223">
        <f>14982.6</f>
        <v>14982.6</v>
      </c>
      <c r="C28" s="224"/>
      <c r="D28" s="101"/>
      <c r="E28" s="110">
        <v>224.523</v>
      </c>
      <c r="F28" s="111"/>
      <c r="G28" s="212">
        <v>590.4</v>
      </c>
      <c r="H28" s="213"/>
      <c r="I28" s="102">
        <f>P28-B28-E28-G28-O28</f>
        <v>975.0770000000009</v>
      </c>
      <c r="J28" s="103"/>
      <c r="K28" s="104"/>
      <c r="L28" s="105">
        <f>B28+E28+G28+I28</f>
        <v>16772.6</v>
      </c>
      <c r="M28" s="97">
        <v>595</v>
      </c>
      <c r="N28" s="174">
        <f>L28/M28</f>
        <v>28.18924369747899</v>
      </c>
      <c r="O28" s="98">
        <v>834.8</v>
      </c>
      <c r="P28" s="99">
        <v>17607.4</v>
      </c>
    </row>
    <row r="29" spans="1:17" ht="12" customHeight="1">
      <c r="A29" s="47" t="s">
        <v>78</v>
      </c>
      <c r="B29" s="221">
        <v>0</v>
      </c>
      <c r="C29" s="222"/>
      <c r="D29" s="106"/>
      <c r="E29" s="221">
        <v>0</v>
      </c>
      <c r="F29" s="222"/>
      <c r="G29" s="225">
        <f>G26</f>
        <v>590.4</v>
      </c>
      <c r="H29" s="226"/>
      <c r="I29" s="225">
        <f>P29-O29-G29</f>
        <v>651.8169999999999</v>
      </c>
      <c r="J29" s="226"/>
      <c r="K29" s="107">
        <f>B29+E29+G29+I29</f>
        <v>1242.2169999999999</v>
      </c>
      <c r="L29" s="105">
        <f>B29+E29+G29+I29</f>
        <v>1242.2169999999999</v>
      </c>
      <c r="M29" s="108"/>
      <c r="N29" s="109"/>
      <c r="O29" s="98">
        <f>'Лист3 '!D46</f>
        <v>834.8</v>
      </c>
      <c r="P29" s="94">
        <v>2077.017</v>
      </c>
      <c r="Q29" s="100"/>
    </row>
    <row r="30" spans="1:16" ht="12.75">
      <c r="A30" s="200" t="s">
        <v>22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2"/>
    </row>
    <row r="31" spans="1:16" s="67" customFormat="1" ht="80.25" customHeight="1">
      <c r="A31" s="60" t="s">
        <v>109</v>
      </c>
      <c r="B31" s="216">
        <f>B33</f>
        <v>17828.21548</v>
      </c>
      <c r="C31" s="217"/>
      <c r="D31" s="61" t="e">
        <f>#REF!+#REF!+#REF!</f>
        <v>#REF!</v>
      </c>
      <c r="E31" s="210">
        <f>E33</f>
        <v>453.2</v>
      </c>
      <c r="F31" s="211"/>
      <c r="G31" s="210">
        <f>G33</f>
        <v>602.25869</v>
      </c>
      <c r="H31" s="211"/>
      <c r="I31" s="232">
        <f>I33</f>
        <v>1849.2445400000022</v>
      </c>
      <c r="J31" s="211"/>
      <c r="K31" s="62" t="e">
        <f>#REF!+#REF!+#REF!</f>
        <v>#REF!</v>
      </c>
      <c r="L31" s="63">
        <f>B31+E31+G31+I31</f>
        <v>20732.91871</v>
      </c>
      <c r="M31" s="64">
        <f>M33</f>
        <v>573</v>
      </c>
      <c r="N31" s="63">
        <f>L31/M31</f>
        <v>36.18310420593369</v>
      </c>
      <c r="O31" s="112">
        <f>O33</f>
        <v>969.8</v>
      </c>
      <c r="P31" s="66">
        <f>P33</f>
        <v>21702.71871</v>
      </c>
    </row>
    <row r="32" spans="1:16" s="67" customFormat="1" ht="12.75">
      <c r="A32" s="60" t="s">
        <v>63</v>
      </c>
      <c r="B32" s="216"/>
      <c r="C32" s="217"/>
      <c r="D32" s="61"/>
      <c r="E32" s="210"/>
      <c r="F32" s="211"/>
      <c r="G32" s="210"/>
      <c r="H32" s="211"/>
      <c r="I32" s="210"/>
      <c r="J32" s="211"/>
      <c r="K32" s="62"/>
      <c r="L32" s="68">
        <f>B32+E32+G32+I32</f>
        <v>0</v>
      </c>
      <c r="M32" s="68"/>
      <c r="N32" s="63"/>
      <c r="O32" s="65"/>
      <c r="P32" s="66"/>
    </row>
    <row r="33" spans="1:16" s="67" customFormat="1" ht="12.75">
      <c r="A33" s="60" t="s">
        <v>65</v>
      </c>
      <c r="B33" s="216">
        <f>13579.13659+42.42+4206.65889</f>
        <v>17828.21548</v>
      </c>
      <c r="C33" s="217"/>
      <c r="D33" s="61"/>
      <c r="E33" s="116">
        <v>453.2</v>
      </c>
      <c r="F33" s="117"/>
      <c r="G33" s="140">
        <f>услуга!E11</f>
        <v>602.25869</v>
      </c>
      <c r="H33" s="117"/>
      <c r="I33" s="143">
        <f>P33-B33-E33-G33-O33</f>
        <v>1849.2445400000022</v>
      </c>
      <c r="J33" s="144"/>
      <c r="K33" s="62"/>
      <c r="L33" s="141">
        <f>B33+E33+G33+I33</f>
        <v>20732.91871</v>
      </c>
      <c r="M33" s="68">
        <v>573</v>
      </c>
      <c r="N33" s="63">
        <f>L33/M33</f>
        <v>36.18310420593369</v>
      </c>
      <c r="O33" s="114">
        <f>'Лист3 '!E46</f>
        <v>969.8</v>
      </c>
      <c r="P33" s="66">
        <v>21702.71871</v>
      </c>
    </row>
    <row r="34" spans="1:16" s="67" customFormat="1" ht="12.75">
      <c r="A34" s="60"/>
      <c r="B34" s="205"/>
      <c r="C34" s="206"/>
      <c r="D34" s="69"/>
      <c r="E34" s="205"/>
      <c r="F34" s="206"/>
      <c r="G34" s="167">
        <f>услуга!E11</f>
        <v>602.25869</v>
      </c>
      <c r="H34" s="139"/>
      <c r="I34" s="218">
        <f>P34-G34-O34</f>
        <v>841.4518999999998</v>
      </c>
      <c r="J34" s="219"/>
      <c r="K34" s="70">
        <f>B34+E34+G34+I34</f>
        <v>1443.7105899999997</v>
      </c>
      <c r="L34" s="141">
        <f>B34+E34+G34+I34</f>
        <v>1443.7105899999997</v>
      </c>
      <c r="M34" s="71"/>
      <c r="N34" s="72"/>
      <c r="O34" s="166">
        <f>O33</f>
        <v>969.8</v>
      </c>
      <c r="P34" s="73">
        <v>2413.51059</v>
      </c>
    </row>
    <row r="35" spans="1:16" ht="12.75">
      <c r="A35" s="200" t="s">
        <v>97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2"/>
    </row>
    <row r="36" spans="1:16" ht="79.5" customHeight="1">
      <c r="A36" s="178" t="s">
        <v>109</v>
      </c>
      <c r="B36" s="192">
        <f>B38</f>
        <v>19593.47</v>
      </c>
      <c r="C36" s="193"/>
      <c r="D36" s="26" t="e">
        <f>#REF!+#REF!+#REF!</f>
        <v>#REF!</v>
      </c>
      <c r="E36" s="194">
        <f>E38</f>
        <v>291.6</v>
      </c>
      <c r="F36" s="195"/>
      <c r="G36" s="192">
        <f>G38</f>
        <v>750.3740699999998</v>
      </c>
      <c r="H36" s="193"/>
      <c r="I36" s="198">
        <f>I38</f>
        <v>1396.9127700000001</v>
      </c>
      <c r="J36" s="199"/>
      <c r="K36" s="21" t="e">
        <f>#REF!+#REF!+#REF!</f>
        <v>#REF!</v>
      </c>
      <c r="L36" s="142">
        <f>B36+E36+G36+I36</f>
        <v>22032.356839999997</v>
      </c>
      <c r="M36" s="39">
        <f>M38</f>
        <v>567</v>
      </c>
      <c r="N36" s="142">
        <f>L36/M36</f>
        <v>38.85777220458553</v>
      </c>
      <c r="O36" s="38">
        <f>O38</f>
        <v>782.7</v>
      </c>
      <c r="P36" s="12">
        <f>L36+O36</f>
        <v>22815.056839999997</v>
      </c>
    </row>
    <row r="37" spans="1:16" ht="12.75">
      <c r="A37" s="18" t="s">
        <v>63</v>
      </c>
      <c r="B37" s="192"/>
      <c r="C37" s="193"/>
      <c r="D37" s="26"/>
      <c r="E37" s="194"/>
      <c r="F37" s="195"/>
      <c r="G37" s="194"/>
      <c r="H37" s="195"/>
      <c r="I37" s="194"/>
      <c r="J37" s="195"/>
      <c r="K37" s="21"/>
      <c r="L37" s="142">
        <f>B37+E37+G37+I37</f>
        <v>0</v>
      </c>
      <c r="M37" s="22"/>
      <c r="N37" s="142"/>
      <c r="O37" s="32"/>
      <c r="P37" s="12"/>
    </row>
    <row r="38" spans="1:16" ht="12.75">
      <c r="A38" s="18" t="s">
        <v>65</v>
      </c>
      <c r="B38" s="192">
        <f>19593.47</f>
        <v>19593.47</v>
      </c>
      <c r="C38" s="193"/>
      <c r="D38" s="26"/>
      <c r="E38" s="171">
        <v>291.6</v>
      </c>
      <c r="F38" s="172"/>
      <c r="G38" s="170">
        <f>'услуга на плановый год'!E12</f>
        <v>750.3740699999998</v>
      </c>
      <c r="H38" s="169"/>
      <c r="I38" s="168">
        <f>P38-B38-E38-G38-O38</f>
        <v>1396.9127700000001</v>
      </c>
      <c r="J38" s="169"/>
      <c r="K38" s="21"/>
      <c r="L38" s="142">
        <f>B38+E38+G38+I38</f>
        <v>22032.356839999997</v>
      </c>
      <c r="M38" s="22">
        <v>567</v>
      </c>
      <c r="N38" s="142">
        <f>L38/M38</f>
        <v>38.85777220458553</v>
      </c>
      <c r="O38" s="19">
        <f>'Лист3 '!F46</f>
        <v>782.7</v>
      </c>
      <c r="P38" s="12">
        <f>22815.05684</f>
        <v>22815.05684</v>
      </c>
    </row>
    <row r="39" spans="1:16" ht="12.75">
      <c r="A39" s="18"/>
      <c r="B39" s="192"/>
      <c r="C39" s="193"/>
      <c r="D39" s="32"/>
      <c r="E39" s="45"/>
      <c r="F39" s="46"/>
      <c r="G39" s="157">
        <f>'услуга на плановый год'!E12</f>
        <v>750.3740699999998</v>
      </c>
      <c r="H39" s="24"/>
      <c r="I39" s="32">
        <f>P39-B39-E39-G39-O39</f>
        <v>577.2259300000003</v>
      </c>
      <c r="J39" s="20"/>
      <c r="K39" s="21"/>
      <c r="L39" s="142">
        <f>B39+E39+G39+I39</f>
        <v>1327.6000000000001</v>
      </c>
      <c r="M39" s="22"/>
      <c r="N39" s="142"/>
      <c r="O39" s="22">
        <f>O38</f>
        <v>782.7</v>
      </c>
      <c r="P39" s="165">
        <v>2110.3</v>
      </c>
    </row>
    <row r="40" spans="1:16" ht="12.75">
      <c r="A40" s="200" t="s">
        <v>98</v>
      </c>
      <c r="B40" s="201"/>
      <c r="C40" s="201"/>
      <c r="D40" s="201"/>
      <c r="E40" s="203"/>
      <c r="F40" s="203"/>
      <c r="G40" s="203"/>
      <c r="H40" s="203"/>
      <c r="I40" s="203"/>
      <c r="J40" s="203"/>
      <c r="K40" s="201"/>
      <c r="L40" s="201"/>
      <c r="M40" s="201"/>
      <c r="N40" s="201"/>
      <c r="O40" s="201"/>
      <c r="P40" s="202"/>
    </row>
    <row r="41" spans="1:16" ht="82.5" customHeight="1">
      <c r="A41" s="178" t="s">
        <v>109</v>
      </c>
      <c r="B41" s="192">
        <f>B43</f>
        <v>19593.47</v>
      </c>
      <c r="C41" s="193"/>
      <c r="D41" s="26" t="e">
        <f>#REF!+#REF!+#REF!</f>
        <v>#REF!</v>
      </c>
      <c r="E41" s="194">
        <f>E43</f>
        <v>291.6</v>
      </c>
      <c r="F41" s="195"/>
      <c r="G41" s="192">
        <f>G43</f>
        <v>750.3740699999998</v>
      </c>
      <c r="H41" s="193"/>
      <c r="I41" s="198">
        <f>I43</f>
        <v>1396.9127700000001</v>
      </c>
      <c r="J41" s="199"/>
      <c r="K41" s="21" t="e">
        <f>#REF!+#REF!+#REF!</f>
        <v>#REF!</v>
      </c>
      <c r="L41" s="142">
        <f>B41+E41+G41+I41</f>
        <v>22032.356839999997</v>
      </c>
      <c r="M41" s="39">
        <f>M43</f>
        <v>567</v>
      </c>
      <c r="N41" s="142">
        <f>L41/M41</f>
        <v>38.85777220458553</v>
      </c>
      <c r="O41" s="38">
        <f>O43</f>
        <v>782.7</v>
      </c>
      <c r="P41" s="12">
        <f>L41+O41</f>
        <v>22815.056839999997</v>
      </c>
    </row>
    <row r="42" spans="1:16" ht="12.75">
      <c r="A42" s="18" t="s">
        <v>63</v>
      </c>
      <c r="B42" s="192"/>
      <c r="C42" s="193"/>
      <c r="D42" s="26"/>
      <c r="E42" s="194"/>
      <c r="F42" s="195"/>
      <c r="G42" s="194"/>
      <c r="H42" s="195"/>
      <c r="I42" s="194"/>
      <c r="J42" s="195"/>
      <c r="K42" s="21"/>
      <c r="L42" s="142">
        <f>B42+E42+G42+I42</f>
        <v>0</v>
      </c>
      <c r="M42" s="22"/>
      <c r="N42" s="142"/>
      <c r="O42" s="32"/>
      <c r="P42" s="12"/>
    </row>
    <row r="43" spans="1:16" ht="12.75">
      <c r="A43" s="18" t="s">
        <v>65</v>
      </c>
      <c r="B43" s="192">
        <f>B38</f>
        <v>19593.47</v>
      </c>
      <c r="C43" s="193"/>
      <c r="D43" s="26"/>
      <c r="E43" s="19">
        <f>E38</f>
        <v>291.6</v>
      </c>
      <c r="F43" s="20"/>
      <c r="G43" s="154">
        <f>G39</f>
        <v>750.3740699999998</v>
      </c>
      <c r="H43" s="20"/>
      <c r="I43" s="32">
        <f>P43-B43-E43-G43-O43</f>
        <v>1396.9127700000001</v>
      </c>
      <c r="J43" s="20"/>
      <c r="K43" s="21"/>
      <c r="L43" s="142">
        <f>B43+E43+G43+I43</f>
        <v>22032.356839999997</v>
      </c>
      <c r="M43" s="22">
        <v>567</v>
      </c>
      <c r="N43" s="142">
        <f>L43/M43</f>
        <v>38.85777220458553</v>
      </c>
      <c r="O43" s="19">
        <f>'Лист3 '!G46</f>
        <v>782.7</v>
      </c>
      <c r="P43" s="12">
        <f>P38</f>
        <v>22815.05684</v>
      </c>
    </row>
    <row r="44" spans="1:16" ht="12.75">
      <c r="A44" s="164"/>
      <c r="B44" s="157"/>
      <c r="C44" s="157"/>
      <c r="D44" s="26"/>
      <c r="E44" s="24"/>
      <c r="F44" s="24"/>
      <c r="G44" s="157">
        <v>750.37</v>
      </c>
      <c r="H44" s="24"/>
      <c r="I44" s="32">
        <f>P44-B44-E44-G44-O44</f>
        <v>577.2180000000001</v>
      </c>
      <c r="J44" s="24"/>
      <c r="K44" s="26"/>
      <c r="L44" s="142">
        <f>B44+E44+G44+I44</f>
        <v>1327.5880000000002</v>
      </c>
      <c r="M44" s="24"/>
      <c r="N44" s="26"/>
      <c r="O44" s="24">
        <f>O43</f>
        <v>782.7</v>
      </c>
      <c r="P44" s="165">
        <v>2110.288</v>
      </c>
    </row>
    <row r="45" spans="1:16" ht="12.75">
      <c r="A45" s="200" t="s">
        <v>103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</row>
    <row r="46" spans="1:16" ht="78" customHeight="1">
      <c r="A46" s="178" t="s">
        <v>109</v>
      </c>
      <c r="B46" s="192">
        <f>B48</f>
        <v>19593.47</v>
      </c>
      <c r="C46" s="193"/>
      <c r="D46" s="26" t="e">
        <f>#REF!+#REF!+#REF!</f>
        <v>#REF!</v>
      </c>
      <c r="E46" s="194">
        <f>E48</f>
        <v>291.6</v>
      </c>
      <c r="F46" s="195"/>
      <c r="G46" s="192">
        <f>G48</f>
        <v>750.3740699999998</v>
      </c>
      <c r="H46" s="193"/>
      <c r="I46" s="198">
        <f>I48</f>
        <v>1396.9127700000001</v>
      </c>
      <c r="J46" s="199"/>
      <c r="K46" s="21" t="e">
        <f>#REF!+#REF!+#REF!</f>
        <v>#REF!</v>
      </c>
      <c r="L46" s="142">
        <f>B46+E46+G46+I46</f>
        <v>22032.356839999997</v>
      </c>
      <c r="M46" s="39">
        <f>M48</f>
        <v>567</v>
      </c>
      <c r="N46" s="142">
        <f>L46/M46</f>
        <v>38.85777220458553</v>
      </c>
      <c r="O46" s="38">
        <f>O48</f>
        <v>782.7</v>
      </c>
      <c r="P46" s="12">
        <f>L46+O46</f>
        <v>22815.056839999997</v>
      </c>
    </row>
    <row r="47" spans="1:16" ht="12.75">
      <c r="A47" s="18" t="s">
        <v>63</v>
      </c>
      <c r="B47" s="192"/>
      <c r="C47" s="193"/>
      <c r="D47" s="26"/>
      <c r="E47" s="194"/>
      <c r="F47" s="195"/>
      <c r="G47" s="194"/>
      <c r="H47" s="195"/>
      <c r="I47" s="194"/>
      <c r="J47" s="195"/>
      <c r="K47" s="21"/>
      <c r="L47" s="142">
        <f>B47+E47+G47+I47</f>
        <v>0</v>
      </c>
      <c r="M47" s="22"/>
      <c r="N47" s="142"/>
      <c r="O47" s="32"/>
      <c r="P47" s="12"/>
    </row>
    <row r="48" spans="1:16" ht="12.75">
      <c r="A48" s="18" t="s">
        <v>65</v>
      </c>
      <c r="B48" s="196">
        <f>B43</f>
        <v>19593.47</v>
      </c>
      <c r="C48" s="197"/>
      <c r="D48" s="26"/>
      <c r="E48" s="176">
        <f>E43</f>
        <v>291.6</v>
      </c>
      <c r="F48" s="169"/>
      <c r="G48" s="170">
        <f>G43</f>
        <v>750.3740699999998</v>
      </c>
      <c r="H48" s="169"/>
      <c r="I48" s="168">
        <f>P48-B48-E48-G48-O48</f>
        <v>1396.9127700000001</v>
      </c>
      <c r="J48" s="169"/>
      <c r="K48" s="21"/>
      <c r="L48" s="142">
        <f>B48+E48+G48+I48</f>
        <v>22032.356839999997</v>
      </c>
      <c r="M48" s="22">
        <v>567</v>
      </c>
      <c r="N48" s="142">
        <f>L48/M48</f>
        <v>38.85777220458553</v>
      </c>
      <c r="O48" s="19">
        <f>'Лист3 '!H46</f>
        <v>782.7</v>
      </c>
      <c r="P48" s="12">
        <f>P43</f>
        <v>22815.05684</v>
      </c>
    </row>
    <row r="49" spans="1:16" ht="12.75">
      <c r="A49" s="164"/>
      <c r="B49" s="154"/>
      <c r="C49" s="155"/>
      <c r="D49" s="26"/>
      <c r="E49" s="19"/>
      <c r="F49" s="24"/>
      <c r="G49" s="154">
        <f>G48</f>
        <v>750.3740699999998</v>
      </c>
      <c r="H49" s="24"/>
      <c r="I49" s="32">
        <f>I48</f>
        <v>1396.9127700000001</v>
      </c>
      <c r="J49" s="20"/>
      <c r="K49" s="21"/>
      <c r="L49" s="142">
        <f>B49+E49+G49+I49</f>
        <v>2147.2868399999998</v>
      </c>
      <c r="M49" s="22"/>
      <c r="N49" s="23"/>
      <c r="O49" s="22">
        <f>O48</f>
        <v>782.7</v>
      </c>
      <c r="P49" s="12">
        <v>2110.3</v>
      </c>
    </row>
    <row r="51" spans="5:13" ht="12.75">
      <c r="E51" s="96" t="s">
        <v>99</v>
      </c>
      <c r="M51" s="96" t="s">
        <v>91</v>
      </c>
    </row>
    <row r="53" spans="5:13" ht="12.75">
      <c r="E53" t="s">
        <v>77</v>
      </c>
      <c r="M53" s="96" t="s">
        <v>92</v>
      </c>
    </row>
  </sheetData>
  <sheetProtection/>
  <mergeCells count="108">
    <mergeCell ref="A1:O5"/>
    <mergeCell ref="L7:L12"/>
    <mergeCell ref="I7:J12"/>
    <mergeCell ref="E14:F14"/>
    <mergeCell ref="E7:F12"/>
    <mergeCell ref="I13:J13"/>
    <mergeCell ref="D7:D12"/>
    <mergeCell ref="G13:H13"/>
    <mergeCell ref="G42:H42"/>
    <mergeCell ref="I42:J42"/>
    <mergeCell ref="A15:P15"/>
    <mergeCell ref="A30:P30"/>
    <mergeCell ref="A35:P35"/>
    <mergeCell ref="B22:C22"/>
    <mergeCell ref="E29:F29"/>
    <mergeCell ref="B21:C21"/>
    <mergeCell ref="B27:C27"/>
    <mergeCell ref="E27:F27"/>
    <mergeCell ref="B24:C24"/>
    <mergeCell ref="N7:N12"/>
    <mergeCell ref="G21:H21"/>
    <mergeCell ref="A7:A12"/>
    <mergeCell ref="B7:C12"/>
    <mergeCell ref="B14:C14"/>
    <mergeCell ref="B13:C13"/>
    <mergeCell ref="G14:H14"/>
    <mergeCell ref="I14:J14"/>
    <mergeCell ref="E13:F13"/>
    <mergeCell ref="G31:H31"/>
    <mergeCell ref="I31:J31"/>
    <mergeCell ref="I29:J29"/>
    <mergeCell ref="I27:J27"/>
    <mergeCell ref="I26:J26"/>
    <mergeCell ref="P7:P12"/>
    <mergeCell ref="I21:J21"/>
    <mergeCell ref="O7:O12"/>
    <mergeCell ref="G7:H12"/>
    <mergeCell ref="M7:M12"/>
    <mergeCell ref="I24:J24"/>
    <mergeCell ref="E21:F21"/>
    <mergeCell ref="E26:F26"/>
    <mergeCell ref="E22:F22"/>
    <mergeCell ref="E23:F23"/>
    <mergeCell ref="B23:C23"/>
    <mergeCell ref="B26:C26"/>
    <mergeCell ref="I22:J22"/>
    <mergeCell ref="G22:H22"/>
    <mergeCell ref="A25:P25"/>
    <mergeCell ref="E24:F24"/>
    <mergeCell ref="G24:H24"/>
    <mergeCell ref="E32:F32"/>
    <mergeCell ref="G32:H32"/>
    <mergeCell ref="B31:C31"/>
    <mergeCell ref="B29:C29"/>
    <mergeCell ref="E31:F31"/>
    <mergeCell ref="B28:C28"/>
    <mergeCell ref="G29:H29"/>
    <mergeCell ref="G26:H26"/>
    <mergeCell ref="I23:J23"/>
    <mergeCell ref="B33:C33"/>
    <mergeCell ref="E34:F34"/>
    <mergeCell ref="I34:J34"/>
    <mergeCell ref="B32:C32"/>
    <mergeCell ref="B16:C16"/>
    <mergeCell ref="E16:F16"/>
    <mergeCell ref="G16:H16"/>
    <mergeCell ref="I16:J16"/>
    <mergeCell ref="B17:C17"/>
    <mergeCell ref="E17:F17"/>
    <mergeCell ref="E37:F37"/>
    <mergeCell ref="G37:H37"/>
    <mergeCell ref="I37:J37"/>
    <mergeCell ref="G17:H17"/>
    <mergeCell ref="I17:J17"/>
    <mergeCell ref="I36:J36"/>
    <mergeCell ref="I32:J32"/>
    <mergeCell ref="G28:H28"/>
    <mergeCell ref="G27:H27"/>
    <mergeCell ref="B18:C18"/>
    <mergeCell ref="E18:F18"/>
    <mergeCell ref="G18:H18"/>
    <mergeCell ref="I18:J18"/>
    <mergeCell ref="B34:C34"/>
    <mergeCell ref="B38:C38"/>
    <mergeCell ref="A20:P20"/>
    <mergeCell ref="B36:C36"/>
    <mergeCell ref="E36:F36"/>
    <mergeCell ref="G36:H36"/>
    <mergeCell ref="B37:C37"/>
    <mergeCell ref="A45:P45"/>
    <mergeCell ref="B46:C46"/>
    <mergeCell ref="E46:F46"/>
    <mergeCell ref="G46:H46"/>
    <mergeCell ref="I46:J46"/>
    <mergeCell ref="A40:P40"/>
    <mergeCell ref="B41:C41"/>
    <mergeCell ref="E41:F41"/>
    <mergeCell ref="G41:H41"/>
    <mergeCell ref="B39:C39"/>
    <mergeCell ref="B47:C47"/>
    <mergeCell ref="E47:F47"/>
    <mergeCell ref="G47:H47"/>
    <mergeCell ref="I47:J47"/>
    <mergeCell ref="B48:C48"/>
    <mergeCell ref="I41:J41"/>
    <mergeCell ref="B43:C43"/>
    <mergeCell ref="B42:C42"/>
    <mergeCell ref="E42:F42"/>
  </mergeCells>
  <printOptions/>
  <pageMargins left="1.1811023622047245" right="0" top="0.5905511811023623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view="pageBreakPreview" zoomScaleSheetLayoutView="100" zoomScalePageLayoutView="0" workbookViewId="0" topLeftCell="A40">
      <selection activeCell="O32" sqref="O32"/>
    </sheetView>
  </sheetViews>
  <sheetFormatPr defaultColWidth="9.140625" defaultRowHeight="12.75"/>
  <cols>
    <col min="1" max="1" width="27.421875" style="0" customWidth="1"/>
    <col min="2" max="2" width="18.00390625" style="0" bestFit="1" customWidth="1"/>
    <col min="3" max="3" width="11.8515625" style="0" bestFit="1" customWidth="1"/>
    <col min="4" max="4" width="9.7109375" style="0" customWidth="1"/>
    <col min="5" max="5" width="10.140625" style="0" bestFit="1" customWidth="1"/>
    <col min="6" max="6" width="12.140625" style="0" bestFit="1" customWidth="1"/>
    <col min="7" max="7" width="12.421875" style="0" bestFit="1" customWidth="1"/>
    <col min="8" max="8" width="12.140625" style="0" bestFit="1" customWidth="1"/>
    <col min="9" max="9" width="10.140625" style="0" bestFit="1" customWidth="1"/>
    <col min="10" max="10" width="13.140625" style="0" bestFit="1" customWidth="1"/>
    <col min="11" max="11" width="12.421875" style="0" bestFit="1" customWidth="1"/>
    <col min="12" max="12" width="12.00390625" style="0" customWidth="1"/>
    <col min="13" max="13" width="12.140625" style="0" bestFit="1" customWidth="1"/>
    <col min="14" max="14" width="12.421875" style="0" bestFit="1" customWidth="1"/>
    <col min="15" max="15" width="11.140625" style="0" bestFit="1" customWidth="1"/>
  </cols>
  <sheetData>
    <row r="2" spans="1:14" ht="12.75">
      <c r="A2" s="247" t="s">
        <v>106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53"/>
      <c r="N2" s="253"/>
    </row>
    <row r="3" spans="1:14" ht="12.7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53"/>
      <c r="N3" s="253"/>
    </row>
    <row r="4" spans="1:14" ht="12.7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6" spans="1:14" ht="51" customHeight="1">
      <c r="A6" s="234" t="s">
        <v>0</v>
      </c>
      <c r="B6" s="234" t="s">
        <v>1</v>
      </c>
      <c r="C6" s="234"/>
      <c r="D6" s="234" t="s">
        <v>2</v>
      </c>
      <c r="E6" s="234"/>
      <c r="F6" s="234" t="s">
        <v>3</v>
      </c>
      <c r="G6" s="234"/>
      <c r="H6" s="234" t="s">
        <v>6</v>
      </c>
      <c r="I6" s="234"/>
      <c r="J6" s="234" t="s">
        <v>14</v>
      </c>
      <c r="K6" s="234"/>
      <c r="L6" s="248" t="s">
        <v>15</v>
      </c>
      <c r="M6" s="248" t="s">
        <v>16</v>
      </c>
      <c r="N6" s="248" t="s">
        <v>17</v>
      </c>
    </row>
    <row r="7" spans="1:14" ht="12.7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49"/>
      <c r="M7" s="249"/>
      <c r="N7" s="249"/>
    </row>
    <row r="8" spans="1:14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49"/>
      <c r="M8" s="249"/>
      <c r="N8" s="249"/>
    </row>
    <row r="9" spans="1:14" ht="12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50"/>
      <c r="M9" s="250"/>
      <c r="N9" s="250"/>
    </row>
    <row r="10" spans="1:14" ht="12.75">
      <c r="A10" s="234"/>
      <c r="B10" s="220" t="s">
        <v>12</v>
      </c>
      <c r="C10" s="220" t="s">
        <v>18</v>
      </c>
      <c r="D10" s="220" t="s">
        <v>12</v>
      </c>
      <c r="E10" s="220" t="s">
        <v>18</v>
      </c>
      <c r="F10" s="220" t="s">
        <v>12</v>
      </c>
      <c r="G10" s="220" t="s">
        <v>18</v>
      </c>
      <c r="H10" s="220" t="s">
        <v>12</v>
      </c>
      <c r="I10" s="220" t="s">
        <v>18</v>
      </c>
      <c r="J10" s="220" t="s">
        <v>12</v>
      </c>
      <c r="K10" s="220" t="s">
        <v>18</v>
      </c>
      <c r="L10" s="220" t="s">
        <v>12</v>
      </c>
      <c r="M10" s="248" t="s">
        <v>13</v>
      </c>
      <c r="N10" s="220" t="s">
        <v>12</v>
      </c>
    </row>
    <row r="11" spans="1:14" ht="12.75">
      <c r="A11" s="234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50"/>
      <c r="N11" s="220"/>
    </row>
    <row r="12" spans="1:14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5" t="s">
        <v>19</v>
      </c>
      <c r="M12" s="1">
        <v>13</v>
      </c>
      <c r="N12" s="1" t="s">
        <v>20</v>
      </c>
    </row>
    <row r="13" spans="1:14" ht="12.75" hidden="1">
      <c r="A13" s="244" t="s">
        <v>75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</row>
    <row r="14" spans="1:14" ht="51" hidden="1">
      <c r="A14" s="18" t="s">
        <v>67</v>
      </c>
      <c r="B14" s="25">
        <f>B16</f>
        <v>14143</v>
      </c>
      <c r="C14" s="29">
        <f>B14/L14</f>
        <v>0.8663877334738209</v>
      </c>
      <c r="D14" s="26">
        <v>0</v>
      </c>
      <c r="E14" s="29">
        <f>D14/L14</f>
        <v>0</v>
      </c>
      <c r="F14" s="25">
        <f>F16</f>
        <v>156</v>
      </c>
      <c r="G14" s="33">
        <f>F14/L14</f>
        <v>0.009556422712431314</v>
      </c>
      <c r="H14" s="25">
        <f>H16</f>
        <v>337.9</v>
      </c>
      <c r="I14" s="28">
        <f>H14/L14</f>
        <v>0.02069945663160603</v>
      </c>
      <c r="J14" s="25">
        <f>J16</f>
        <v>1687.2</v>
      </c>
      <c r="K14" s="28">
        <f>J14/L14</f>
        <v>0.10335638718214174</v>
      </c>
      <c r="L14" s="10">
        <f>B14+D14+F14+H14+J14</f>
        <v>16324.1</v>
      </c>
      <c r="M14" s="10">
        <f>M16</f>
        <v>591</v>
      </c>
      <c r="N14" s="35">
        <f>L14/M14</f>
        <v>27.621150592216583</v>
      </c>
    </row>
    <row r="15" spans="1:14" ht="12.75" hidden="1">
      <c r="A15" s="18" t="s">
        <v>63</v>
      </c>
      <c r="B15" s="22"/>
      <c r="C15" s="29"/>
      <c r="D15" s="26"/>
      <c r="E15" s="22"/>
      <c r="F15" s="20"/>
      <c r="G15" s="33"/>
      <c r="H15" s="20"/>
      <c r="I15" s="28"/>
      <c r="J15" s="20"/>
      <c r="K15" s="28"/>
      <c r="L15" s="10">
        <f>B15+D15+F15+H15+J15</f>
        <v>0</v>
      </c>
      <c r="M15" s="10"/>
      <c r="N15" s="12"/>
    </row>
    <row r="16" spans="1:14" ht="12.75" hidden="1">
      <c r="A16" s="18" t="s">
        <v>65</v>
      </c>
      <c r="B16" s="22">
        <v>14143</v>
      </c>
      <c r="C16" s="29">
        <f>B16/L16</f>
        <v>0.8663877334738209</v>
      </c>
      <c r="D16" s="26">
        <v>0</v>
      </c>
      <c r="E16" s="42">
        <f>E14</f>
        <v>0</v>
      </c>
      <c r="F16" s="20">
        <v>156</v>
      </c>
      <c r="G16" s="34">
        <f>F16/L16</f>
        <v>0.009556422712431314</v>
      </c>
      <c r="H16" s="20">
        <v>337.9</v>
      </c>
      <c r="I16" s="28">
        <f>H16/L16</f>
        <v>0.02069945663160603</v>
      </c>
      <c r="J16" s="20">
        <v>1687.2</v>
      </c>
      <c r="K16" s="28">
        <f>J16/L16</f>
        <v>0.10335638718214174</v>
      </c>
      <c r="L16" s="10">
        <f>B16+D16+F16+H16+J16</f>
        <v>16324.1</v>
      </c>
      <c r="M16" s="10">
        <v>591</v>
      </c>
      <c r="N16" s="35">
        <f>L16/M16</f>
        <v>27.621150592216583</v>
      </c>
    </row>
    <row r="17" spans="1:14" ht="12.75" hidden="1">
      <c r="A17" s="18"/>
      <c r="B17" s="22"/>
      <c r="C17" s="29"/>
      <c r="D17" s="22"/>
      <c r="E17" s="29"/>
      <c r="F17" s="20"/>
      <c r="G17" s="34"/>
      <c r="H17" s="25"/>
      <c r="I17" s="28"/>
      <c r="J17" s="22"/>
      <c r="K17" s="28"/>
      <c r="L17" s="10"/>
      <c r="M17" s="10"/>
      <c r="N17" s="35"/>
    </row>
    <row r="18" spans="1:14" ht="12.75" customHeight="1" hidden="1">
      <c r="A18" s="244" t="s">
        <v>76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6"/>
    </row>
    <row r="19" spans="1:15" ht="51" hidden="1">
      <c r="A19" s="18" t="s">
        <v>67</v>
      </c>
      <c r="B19" s="25">
        <f>B21</f>
        <v>13897.1</v>
      </c>
      <c r="C19" s="29">
        <f>B19/L19</f>
        <v>0.8568159132203458</v>
      </c>
      <c r="D19" s="26"/>
      <c r="E19" s="29">
        <f>D19/L19</f>
        <v>0</v>
      </c>
      <c r="F19" s="25">
        <f>F21</f>
        <v>244.8</v>
      </c>
      <c r="G19" s="33">
        <f>F19/L19</f>
        <v>0.015092971595249414</v>
      </c>
      <c r="H19" s="25">
        <f>H21</f>
        <v>467.5</v>
      </c>
      <c r="I19" s="28">
        <f>H19/L19</f>
        <v>0.02882338325481659</v>
      </c>
      <c r="J19" s="25">
        <f>J21</f>
        <v>1610.07</v>
      </c>
      <c r="K19" s="28">
        <f>J19/L19</f>
        <v>0.09926773192958833</v>
      </c>
      <c r="L19" s="10">
        <f>B19+D19+F19+H19+J19</f>
        <v>16219.47</v>
      </c>
      <c r="M19" s="10">
        <f>M21</f>
        <v>620</v>
      </c>
      <c r="N19" s="35">
        <f>L19/M19</f>
        <v>26.160435483870966</v>
      </c>
      <c r="O19" s="36">
        <f>O21</f>
        <v>17192.9</v>
      </c>
    </row>
    <row r="20" spans="1:15" ht="12.75" hidden="1">
      <c r="A20" s="18" t="s">
        <v>63</v>
      </c>
      <c r="B20" s="22"/>
      <c r="C20" s="29"/>
      <c r="D20" s="26"/>
      <c r="E20" s="22"/>
      <c r="F20" s="20"/>
      <c r="G20" s="33"/>
      <c r="H20" s="20"/>
      <c r="I20" s="28"/>
      <c r="J20" s="20"/>
      <c r="K20" s="28"/>
      <c r="L20" s="10">
        <f>B20+D20+F20+H20+J20</f>
        <v>0</v>
      </c>
      <c r="M20" s="10"/>
      <c r="N20" s="12"/>
      <c r="O20" s="2"/>
    </row>
    <row r="21" spans="1:15" ht="12.75" hidden="1">
      <c r="A21" s="18" t="s">
        <v>65</v>
      </c>
      <c r="B21" s="22">
        <v>13897.1</v>
      </c>
      <c r="C21" s="29">
        <f>B21/L21</f>
        <v>0.8568159132203458</v>
      </c>
      <c r="D21" s="26"/>
      <c r="E21" s="22"/>
      <c r="F21" s="20">
        <v>244.8</v>
      </c>
      <c r="G21" s="34">
        <f>F21/L21</f>
        <v>0.015092971595249414</v>
      </c>
      <c r="H21" s="20">
        <v>467.5</v>
      </c>
      <c r="I21" s="28">
        <f>H21/L21</f>
        <v>0.02882338325481659</v>
      </c>
      <c r="J21" s="20">
        <v>1610.07</v>
      </c>
      <c r="K21" s="28">
        <f>J21/L21</f>
        <v>0.09926773192958833</v>
      </c>
      <c r="L21" s="12">
        <f>B21+D21+F21+H21+J21</f>
        <v>16219.47</v>
      </c>
      <c r="M21" s="10">
        <v>620</v>
      </c>
      <c r="N21" s="35">
        <f>L21/M21</f>
        <v>26.160435483870966</v>
      </c>
      <c r="O21" s="2">
        <v>17192.9</v>
      </c>
    </row>
    <row r="22" spans="1:15" ht="12.75">
      <c r="A22" s="200" t="s">
        <v>72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30"/>
    </row>
    <row r="23" spans="1:15" ht="49.5" customHeight="1">
      <c r="A23" s="47" t="s">
        <v>66</v>
      </c>
      <c r="B23" s="50">
        <f>B25</f>
        <v>14982.6</v>
      </c>
      <c r="C23" s="185">
        <f>B23/L23</f>
        <v>0.8932783229791447</v>
      </c>
      <c r="D23" s="48"/>
      <c r="E23" s="185">
        <f>D23/L23</f>
        <v>0</v>
      </c>
      <c r="F23" s="50">
        <f>F25</f>
        <v>224.523</v>
      </c>
      <c r="G23" s="186">
        <f>F23/L23</f>
        <v>0.013386296698186329</v>
      </c>
      <c r="H23" s="50">
        <f>H25</f>
        <v>590.4</v>
      </c>
      <c r="I23" s="185">
        <f>H23/L23</f>
        <v>0.035200267102297796</v>
      </c>
      <c r="J23" s="50">
        <f>J25</f>
        <v>975.0770000000009</v>
      </c>
      <c r="K23" s="185">
        <f>J23/L23</f>
        <v>0.058135113220371376</v>
      </c>
      <c r="L23" s="50">
        <f>B23+D23+F23+H23+J23</f>
        <v>16772.6</v>
      </c>
      <c r="M23" s="50">
        <f>M25</f>
        <v>595</v>
      </c>
      <c r="N23" s="186">
        <f>L23/M23</f>
        <v>28.18924369747899</v>
      </c>
      <c r="O23" s="57">
        <f>O25</f>
        <v>17607.4</v>
      </c>
    </row>
    <row r="24" spans="1:15" ht="12.75">
      <c r="A24" s="47" t="s">
        <v>63</v>
      </c>
      <c r="B24" s="50"/>
      <c r="C24" s="185"/>
      <c r="D24" s="48"/>
      <c r="E24" s="50"/>
      <c r="F24" s="183"/>
      <c r="G24" s="186"/>
      <c r="H24" s="183"/>
      <c r="I24" s="185"/>
      <c r="J24" s="183"/>
      <c r="K24" s="185"/>
      <c r="L24" s="50">
        <f>B24+D24+F24+H24+J24</f>
        <v>0</v>
      </c>
      <c r="M24" s="50"/>
      <c r="N24" s="186"/>
      <c r="O24" s="56"/>
    </row>
    <row r="25" spans="1:15" ht="12.75">
      <c r="A25" s="47" t="s">
        <v>65</v>
      </c>
      <c r="B25" s="50">
        <f>'лист1  '!B28:C28</f>
        <v>14982.6</v>
      </c>
      <c r="C25" s="185">
        <f>B25/L25</f>
        <v>0.8932783229791447</v>
      </c>
      <c r="D25" s="48"/>
      <c r="E25" s="50"/>
      <c r="F25" s="181">
        <f>'лист1  '!E28</f>
        <v>224.523</v>
      </c>
      <c r="G25" s="187">
        <f>F25/L25</f>
        <v>0.013386296698186329</v>
      </c>
      <c r="H25" s="183">
        <f>'лист1  '!G28</f>
        <v>590.4</v>
      </c>
      <c r="I25" s="185">
        <f>H25/L25</f>
        <v>0.035200267102297796</v>
      </c>
      <c r="J25" s="183">
        <f>'лист1  '!I28</f>
        <v>975.0770000000009</v>
      </c>
      <c r="K25" s="185">
        <f>J25/L25</f>
        <v>0.058135113220371376</v>
      </c>
      <c r="L25" s="50">
        <f>B25+D25+F25+H25+J25</f>
        <v>16772.6</v>
      </c>
      <c r="M25" s="50">
        <f>'лист1  '!M28</f>
        <v>595</v>
      </c>
      <c r="N25" s="186">
        <f>L25/M25</f>
        <v>28.18924369747899</v>
      </c>
      <c r="O25" s="57">
        <f>'лист1  '!P28</f>
        <v>17607.4</v>
      </c>
    </row>
    <row r="26" spans="1:15" ht="12.75" hidden="1">
      <c r="A26" s="47"/>
      <c r="B26" s="50"/>
      <c r="C26" s="185"/>
      <c r="D26" s="48"/>
      <c r="E26" s="50"/>
      <c r="F26" s="183"/>
      <c r="G26" s="187"/>
      <c r="H26" s="183">
        <v>414.16</v>
      </c>
      <c r="I26" s="185">
        <f>H26/L26</f>
        <v>0.3885262064753743</v>
      </c>
      <c r="J26" s="183">
        <f>'лист1  '!I29</f>
        <v>651.8169999999999</v>
      </c>
      <c r="K26" s="185">
        <f>J26/L26</f>
        <v>0.6114737935246257</v>
      </c>
      <c r="L26" s="50">
        <f>B26+D26+F26+H26+J26</f>
        <v>1065.9769999999999</v>
      </c>
      <c r="M26" s="50"/>
      <c r="N26" s="180"/>
      <c r="O26" s="57">
        <f>'лист1  '!P29</f>
        <v>2077.017</v>
      </c>
    </row>
    <row r="27" spans="1:15" ht="12.75">
      <c r="A27" s="252" t="s">
        <v>96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00"/>
      <c r="O27" s="43"/>
    </row>
    <row r="28" spans="1:14" ht="81.75" customHeight="1">
      <c r="A28" s="60" t="s">
        <v>109</v>
      </c>
      <c r="B28" s="141">
        <f>B30</f>
        <v>17828.21548</v>
      </c>
      <c r="C28" s="188">
        <f>B28/L28</f>
        <v>0.8598989717449192</v>
      </c>
      <c r="D28" s="61"/>
      <c r="E28" s="188">
        <f>D28/L28</f>
        <v>0</v>
      </c>
      <c r="F28" s="68">
        <f>F30</f>
        <v>453.2</v>
      </c>
      <c r="G28" s="141">
        <f>F28/L28</f>
        <v>0.021858958033796293</v>
      </c>
      <c r="H28" s="141">
        <f>H30</f>
        <v>602.25869</v>
      </c>
      <c r="I28" s="188">
        <f>H28/L28</f>
        <v>0.029048427692407616</v>
      </c>
      <c r="J28" s="141">
        <f>J30</f>
        <v>1849.2445400000022</v>
      </c>
      <c r="K28" s="188">
        <f>J28/L28</f>
        <v>0.08919364252887682</v>
      </c>
      <c r="L28" s="141">
        <f>B28+D28+F28+H28+J28</f>
        <v>20732.91871</v>
      </c>
      <c r="M28" s="68">
        <f>M30</f>
        <v>573</v>
      </c>
      <c r="N28" s="184">
        <f>L28/M28</f>
        <v>36.18310420593369</v>
      </c>
    </row>
    <row r="29" spans="1:14" ht="12.75">
      <c r="A29" s="60" t="s">
        <v>63</v>
      </c>
      <c r="B29" s="68"/>
      <c r="C29" s="188"/>
      <c r="D29" s="61"/>
      <c r="E29" s="68"/>
      <c r="F29" s="179"/>
      <c r="G29" s="141"/>
      <c r="H29" s="182"/>
      <c r="I29" s="188"/>
      <c r="J29" s="182"/>
      <c r="K29" s="188"/>
      <c r="L29" s="141">
        <f>B29+D29+F29+H29+J29</f>
        <v>0</v>
      </c>
      <c r="M29" s="68"/>
      <c r="N29" s="63"/>
    </row>
    <row r="30" spans="1:15" ht="12.75">
      <c r="A30" s="60" t="s">
        <v>65</v>
      </c>
      <c r="B30" s="141">
        <f>'лист1  '!B33:C33</f>
        <v>17828.21548</v>
      </c>
      <c r="C30" s="188">
        <f>B30/L30</f>
        <v>0.8598989717449192</v>
      </c>
      <c r="D30" s="61"/>
      <c r="E30" s="68"/>
      <c r="F30" s="179">
        <f>'лист1  '!E33</f>
        <v>453.2</v>
      </c>
      <c r="G30" s="189">
        <f>F30/L30</f>
        <v>0.021858958033796293</v>
      </c>
      <c r="H30" s="182">
        <f>'лист1  '!G33</f>
        <v>602.25869</v>
      </c>
      <c r="I30" s="188">
        <f>H30/L30</f>
        <v>0.029048427692407616</v>
      </c>
      <c r="J30" s="182">
        <f>'лист1  '!I33</f>
        <v>1849.2445400000022</v>
      </c>
      <c r="K30" s="188">
        <f>J30/L30</f>
        <v>0.08919364252887682</v>
      </c>
      <c r="L30" s="141">
        <f>B30+D30+F30+H30+J30</f>
        <v>20732.91871</v>
      </c>
      <c r="M30" s="68">
        <f>'лист1  '!M33</f>
        <v>573</v>
      </c>
      <c r="N30" s="184">
        <f>L30/M30</f>
        <v>36.18310420593369</v>
      </c>
      <c r="O30">
        <f>'лист1  '!P33</f>
        <v>21702.71871</v>
      </c>
    </row>
    <row r="31" spans="1:14" ht="12.75">
      <c r="A31" s="252" t="s">
        <v>94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</row>
    <row r="32" spans="1:14" ht="80.25" customHeight="1">
      <c r="A32" s="178" t="s">
        <v>109</v>
      </c>
      <c r="B32" s="142">
        <f>B34</f>
        <v>19593.47</v>
      </c>
      <c r="C32" s="142">
        <f>B32/L32</f>
        <v>0.8893043146626888</v>
      </c>
      <c r="D32" s="157"/>
      <c r="E32" s="142">
        <f>D32/L32</f>
        <v>0</v>
      </c>
      <c r="F32" s="142">
        <f>F34</f>
        <v>291.6</v>
      </c>
      <c r="G32" s="142">
        <f>F32/L32</f>
        <v>0.013235079756451515</v>
      </c>
      <c r="H32" s="142">
        <f>H34</f>
        <v>750.3740699999998</v>
      </c>
      <c r="I32" s="142">
        <f>H32/L32</f>
        <v>0.03405782120584064</v>
      </c>
      <c r="J32" s="142">
        <f>J34</f>
        <v>1396.9127700000001</v>
      </c>
      <c r="K32" s="142">
        <f>J32/L32</f>
        <v>0.06340278437501924</v>
      </c>
      <c r="L32" s="142">
        <f>B32+D32+F32+H32+J32</f>
        <v>22032.356839999997</v>
      </c>
      <c r="M32" s="142">
        <f>M34</f>
        <v>567</v>
      </c>
      <c r="N32" s="142">
        <f>L32/M32</f>
        <v>38.85777220458553</v>
      </c>
    </row>
    <row r="33" spans="1:14" ht="12.75">
      <c r="A33" s="156" t="s">
        <v>63</v>
      </c>
      <c r="B33" s="142"/>
      <c r="C33" s="142"/>
      <c r="D33" s="157"/>
      <c r="E33" s="142"/>
      <c r="F33" s="155"/>
      <c r="G33" s="142"/>
      <c r="H33" s="155"/>
      <c r="I33" s="142"/>
      <c r="J33" s="155"/>
      <c r="K33" s="142"/>
      <c r="L33" s="142">
        <f>B33+D33+F33+H33+J33</f>
        <v>0</v>
      </c>
      <c r="M33" s="142"/>
      <c r="N33" s="142"/>
    </row>
    <row r="34" spans="1:14" ht="12.75">
      <c r="A34" s="156" t="s">
        <v>65</v>
      </c>
      <c r="B34" s="142">
        <f>'лист1  '!B38:C38</f>
        <v>19593.47</v>
      </c>
      <c r="C34" s="142">
        <f>B34/L34</f>
        <v>0.8893043146626888</v>
      </c>
      <c r="D34" s="157"/>
      <c r="E34" s="142"/>
      <c r="F34" s="155">
        <f>'лист1  '!E38</f>
        <v>291.6</v>
      </c>
      <c r="G34" s="190">
        <f>F34/L34</f>
        <v>0.013235079756451515</v>
      </c>
      <c r="H34" s="155">
        <f>'лист1  '!G38</f>
        <v>750.3740699999998</v>
      </c>
      <c r="I34" s="142">
        <f>H34/L34</f>
        <v>0.03405782120584064</v>
      </c>
      <c r="J34" s="155">
        <f>'лист1  '!I38</f>
        <v>1396.9127700000001</v>
      </c>
      <c r="K34" s="142">
        <f>J34/L34</f>
        <v>0.06340278437501924</v>
      </c>
      <c r="L34" s="142">
        <f>B34+D34+F34+H34+J34</f>
        <v>22032.356839999997</v>
      </c>
      <c r="M34" s="142">
        <f>'лист1  '!M38</f>
        <v>567</v>
      </c>
      <c r="N34" s="142">
        <f>L34/M34</f>
        <v>38.85777220458553</v>
      </c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51" t="s">
        <v>95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ht="81" customHeight="1">
      <c r="A37" s="178" t="s">
        <v>109</v>
      </c>
      <c r="B37" s="142">
        <f>B39</f>
        <v>19593.47</v>
      </c>
      <c r="C37" s="142">
        <f>B37/L37</f>
        <v>0.8893043146626888</v>
      </c>
      <c r="D37" s="157"/>
      <c r="E37" s="142">
        <f>D37/L37</f>
        <v>0</v>
      </c>
      <c r="F37" s="142">
        <f>F39</f>
        <v>291.6</v>
      </c>
      <c r="G37" s="142">
        <f>F37/L37</f>
        <v>0.013235079756451515</v>
      </c>
      <c r="H37" s="142">
        <f>H39</f>
        <v>750.3740699999998</v>
      </c>
      <c r="I37" s="142">
        <f>H37/L37</f>
        <v>0.03405782120584064</v>
      </c>
      <c r="J37" s="142">
        <f>J39</f>
        <v>1396.9127700000001</v>
      </c>
      <c r="K37" s="142">
        <f>J37/L37</f>
        <v>0.06340278437501924</v>
      </c>
      <c r="L37" s="142">
        <f>B37+D37+F37+H37+J37</f>
        <v>22032.356839999997</v>
      </c>
      <c r="M37" s="142">
        <f>M39</f>
        <v>567</v>
      </c>
      <c r="N37" s="142">
        <f>L37/M37</f>
        <v>38.85777220458553</v>
      </c>
    </row>
    <row r="38" spans="1:14" ht="12.75">
      <c r="A38" s="156" t="s">
        <v>63</v>
      </c>
      <c r="B38" s="142"/>
      <c r="C38" s="142"/>
      <c r="D38" s="157"/>
      <c r="E38" s="142"/>
      <c r="F38" s="155"/>
      <c r="G38" s="142"/>
      <c r="H38" s="155"/>
      <c r="I38" s="142"/>
      <c r="J38" s="155"/>
      <c r="K38" s="142"/>
      <c r="L38" s="142">
        <f>B38+D38+F38+H38+J38</f>
        <v>0</v>
      </c>
      <c r="M38" s="142"/>
      <c r="N38" s="142"/>
    </row>
    <row r="39" spans="1:14" ht="12.75">
      <c r="A39" s="156" t="s">
        <v>65</v>
      </c>
      <c r="B39" s="142">
        <f>'лист1  '!B43:C43</f>
        <v>19593.47</v>
      </c>
      <c r="C39" s="142">
        <f>B39/L39</f>
        <v>0.8893043146626888</v>
      </c>
      <c r="D39" s="157"/>
      <c r="E39" s="142"/>
      <c r="F39" s="155">
        <f>'лист1  '!E43</f>
        <v>291.6</v>
      </c>
      <c r="G39" s="190">
        <f>F39/L39</f>
        <v>0.013235079756451515</v>
      </c>
      <c r="H39" s="155">
        <f>'лист1  '!G43</f>
        <v>750.3740699999998</v>
      </c>
      <c r="I39" s="142">
        <f>H39/L39</f>
        <v>0.03405782120584064</v>
      </c>
      <c r="J39" s="155">
        <f>'лист1  '!I43</f>
        <v>1396.9127700000001</v>
      </c>
      <c r="K39" s="142">
        <f>J39/L39</f>
        <v>0.06340278437501924</v>
      </c>
      <c r="L39" s="142">
        <f>B39+D39+F39+H39+J39</f>
        <v>22032.356839999997</v>
      </c>
      <c r="M39" s="142">
        <f>'лист1  '!M43</f>
        <v>567</v>
      </c>
      <c r="N39" s="142">
        <f>L39/M39</f>
        <v>38.85777220458553</v>
      </c>
    </row>
    <row r="40" spans="1:14" ht="12.75">
      <c r="A40" s="251" t="s">
        <v>104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</row>
    <row r="41" spans="1:14" ht="76.5" customHeight="1">
      <c r="A41" s="178" t="s">
        <v>109</v>
      </c>
      <c r="B41" s="142">
        <f>B43</f>
        <v>19593.47</v>
      </c>
      <c r="C41" s="142">
        <f>B41/L41</f>
        <v>0.8893043146626888</v>
      </c>
      <c r="D41" s="157"/>
      <c r="E41" s="142">
        <f>D41/L41</f>
        <v>0</v>
      </c>
      <c r="F41" s="142">
        <f>F43</f>
        <v>291.6</v>
      </c>
      <c r="G41" s="142">
        <f>F41/L41</f>
        <v>0.013235079756451515</v>
      </c>
      <c r="H41" s="142">
        <f>H43</f>
        <v>750.3740699999998</v>
      </c>
      <c r="I41" s="142">
        <f>H41/L41</f>
        <v>0.03405782120584064</v>
      </c>
      <c r="J41" s="142">
        <f>J43</f>
        <v>1396.9127700000001</v>
      </c>
      <c r="K41" s="142">
        <f>J41/L41</f>
        <v>0.06340278437501924</v>
      </c>
      <c r="L41" s="142">
        <f>B41+D41+F41+H41+J41</f>
        <v>22032.356839999997</v>
      </c>
      <c r="M41" s="142">
        <f>M43</f>
        <v>567</v>
      </c>
      <c r="N41" s="142">
        <f>L41/M41</f>
        <v>38.85777220458553</v>
      </c>
    </row>
    <row r="42" spans="1:14" ht="12.75">
      <c r="A42" s="156" t="s">
        <v>63</v>
      </c>
      <c r="B42" s="142"/>
      <c r="C42" s="142"/>
      <c r="D42" s="157"/>
      <c r="E42" s="142"/>
      <c r="F42" s="155"/>
      <c r="G42" s="142"/>
      <c r="H42" s="155"/>
      <c r="I42" s="142"/>
      <c r="J42" s="155"/>
      <c r="K42" s="142"/>
      <c r="L42" s="142">
        <f>B42+D42+F42+H42+J42</f>
        <v>0</v>
      </c>
      <c r="M42" s="142"/>
      <c r="N42" s="142"/>
    </row>
    <row r="43" spans="1:14" ht="12.75">
      <c r="A43" s="156" t="s">
        <v>65</v>
      </c>
      <c r="B43" s="142">
        <f>'лист1  '!B48:C48</f>
        <v>19593.47</v>
      </c>
      <c r="C43" s="142">
        <f>B43/L43</f>
        <v>0.8893043146626888</v>
      </c>
      <c r="D43" s="157"/>
      <c r="E43" s="142"/>
      <c r="F43" s="155">
        <f>'лист1  '!E48</f>
        <v>291.6</v>
      </c>
      <c r="G43" s="190">
        <f>F43/L43</f>
        <v>0.013235079756451515</v>
      </c>
      <c r="H43" s="155">
        <f>'лист1  '!G48</f>
        <v>750.3740699999998</v>
      </c>
      <c r="I43" s="142">
        <f>H43/L43</f>
        <v>0.03405782120584064</v>
      </c>
      <c r="J43" s="155">
        <f>'лист1  '!I48</f>
        <v>1396.9127700000001</v>
      </c>
      <c r="K43" s="142">
        <f>J43/L43</f>
        <v>0.06340278437501924</v>
      </c>
      <c r="L43" s="142">
        <f>B43+D43+F43+H43+J43</f>
        <v>22032.356839999997</v>
      </c>
      <c r="M43" s="142">
        <f>'лист1  '!M48</f>
        <v>567</v>
      </c>
      <c r="N43" s="142">
        <f>L43/M43</f>
        <v>38.85777220458553</v>
      </c>
    </row>
    <row r="45" spans="5:13" ht="12.75">
      <c r="E45" t="s">
        <v>77</v>
      </c>
      <c r="M45" s="96" t="s">
        <v>92</v>
      </c>
    </row>
  </sheetData>
  <sheetProtection/>
  <mergeCells count="30">
    <mergeCell ref="A36:N36"/>
    <mergeCell ref="A13:N13"/>
    <mergeCell ref="A18:N18"/>
    <mergeCell ref="G10:G11"/>
    <mergeCell ref="H6:I9"/>
    <mergeCell ref="H10:H11"/>
    <mergeCell ref="I10:I11"/>
    <mergeCell ref="J6:K9"/>
    <mergeCell ref="J10:J11"/>
    <mergeCell ref="K10:K11"/>
    <mergeCell ref="A6:A11"/>
    <mergeCell ref="L6:L9"/>
    <mergeCell ref="B6:C9"/>
    <mergeCell ref="D6:E9"/>
    <mergeCell ref="F6:G9"/>
    <mergeCell ref="B10:B11"/>
    <mergeCell ref="C10:C11"/>
    <mergeCell ref="D10:D11"/>
    <mergeCell ref="E10:E11"/>
    <mergeCell ref="F10:F11"/>
    <mergeCell ref="A40:N40"/>
    <mergeCell ref="A31:N31"/>
    <mergeCell ref="A22:N22"/>
    <mergeCell ref="A27:N27"/>
    <mergeCell ref="A2:N4"/>
    <mergeCell ref="L10:L11"/>
    <mergeCell ref="M6:M9"/>
    <mergeCell ref="M10:M11"/>
    <mergeCell ref="N6:N9"/>
    <mergeCell ref="N10:N11"/>
  </mergeCells>
  <printOptions/>
  <pageMargins left="0.7874015748031497" right="0" top="0.3937007874015748" bottom="0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53"/>
  <sheetViews>
    <sheetView showZeros="0" view="pageBreakPreview" zoomScale="120" zoomScaleSheetLayoutView="120" zoomScalePageLayoutView="0" workbookViewId="0" topLeftCell="A1">
      <pane xSplit="2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6" sqref="J36"/>
    </sheetView>
  </sheetViews>
  <sheetFormatPr defaultColWidth="9.140625" defaultRowHeight="12.75"/>
  <cols>
    <col min="1" max="1" width="42.00390625" style="0" customWidth="1"/>
    <col min="2" max="3" width="8.8515625" style="0" hidden="1" customWidth="1"/>
    <col min="4" max="6" width="8.421875" style="0" customWidth="1"/>
    <col min="7" max="7" width="8.8515625" style="0" customWidth="1"/>
    <col min="8" max="8" width="10.140625" style="0" customWidth="1"/>
    <col min="9" max="68" width="9.140625" style="0" customWidth="1"/>
    <col min="74" max="148" width="0" style="0" hidden="1" customWidth="1"/>
  </cols>
  <sheetData>
    <row r="1" spans="1:24" ht="15" customHeight="1">
      <c r="A1" s="254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2.75">
      <c r="A3" s="17"/>
    </row>
    <row r="5" spans="1:9" ht="12.75" customHeight="1">
      <c r="A5" s="235" t="s">
        <v>40</v>
      </c>
      <c r="B5" s="234" t="s">
        <v>64</v>
      </c>
      <c r="C5" s="234"/>
      <c r="D5" s="234"/>
      <c r="E5" s="234"/>
      <c r="F5" s="234"/>
      <c r="G5" s="234"/>
      <c r="H5" s="234"/>
      <c r="I5" s="119"/>
    </row>
    <row r="6" spans="1:9" ht="12.75" customHeight="1">
      <c r="A6" s="237"/>
      <c r="B6" s="234"/>
      <c r="C6" s="234"/>
      <c r="D6" s="234"/>
      <c r="E6" s="234"/>
      <c r="F6" s="234"/>
      <c r="G6" s="234"/>
      <c r="H6" s="234"/>
      <c r="I6" s="119"/>
    </row>
    <row r="7" spans="1:9" ht="39" customHeight="1">
      <c r="A7" s="237"/>
      <c r="B7" s="234"/>
      <c r="C7" s="234"/>
      <c r="D7" s="234"/>
      <c r="E7" s="234"/>
      <c r="F7" s="234"/>
      <c r="G7" s="234"/>
      <c r="H7" s="234"/>
      <c r="I7" s="119"/>
    </row>
    <row r="8" spans="1:9" ht="12.75">
      <c r="A8" s="239"/>
      <c r="B8" s="130" t="s">
        <v>68</v>
      </c>
      <c r="C8" s="1" t="s">
        <v>24</v>
      </c>
      <c r="D8" s="55" t="s">
        <v>25</v>
      </c>
      <c r="E8" s="118" t="s">
        <v>22</v>
      </c>
      <c r="F8" s="1" t="s">
        <v>73</v>
      </c>
      <c r="G8" s="121" t="s">
        <v>93</v>
      </c>
      <c r="H8" s="2" t="s">
        <v>100</v>
      </c>
      <c r="I8" s="129"/>
    </row>
    <row r="9" spans="1:9" ht="25.5">
      <c r="A9" s="120" t="s">
        <v>42</v>
      </c>
      <c r="B9" s="131"/>
      <c r="C9" s="2"/>
      <c r="D9" s="56"/>
      <c r="E9" s="145"/>
      <c r="F9" s="2"/>
      <c r="G9" s="121"/>
      <c r="H9" s="2">
        <f>G9</f>
        <v>0</v>
      </c>
      <c r="I9" s="129"/>
    </row>
    <row r="10" spans="1:9" ht="12.75">
      <c r="A10" s="121" t="s">
        <v>21</v>
      </c>
      <c r="B10" s="131">
        <v>44.3</v>
      </c>
      <c r="C10" s="2">
        <v>65.4</v>
      </c>
      <c r="D10" s="94">
        <v>22.3</v>
      </c>
      <c r="E10" s="146">
        <f>услуга!D9</f>
        <v>17</v>
      </c>
      <c r="F10" s="2">
        <f>'услуга на плановый год'!D9</f>
        <v>22.5</v>
      </c>
      <c r="G10" s="121">
        <v>22.5</v>
      </c>
      <c r="H10" s="2">
        <f aca="true" t="shared" si="0" ref="H10:H45">G10</f>
        <v>22.5</v>
      </c>
      <c r="I10" s="129"/>
    </row>
    <row r="11" spans="1:9" ht="12.75">
      <c r="A11" s="121" t="s">
        <v>26</v>
      </c>
      <c r="B11" s="131">
        <v>1.6</v>
      </c>
      <c r="C11" s="2">
        <v>1.9</v>
      </c>
      <c r="D11" s="94"/>
      <c r="E11" s="146"/>
      <c r="F11" s="2"/>
      <c r="G11" s="121"/>
      <c r="H11" s="2">
        <f t="shared" si="0"/>
        <v>0</v>
      </c>
      <c r="I11" s="129"/>
    </row>
    <row r="12" spans="1:9" ht="12.75">
      <c r="A12" s="121" t="s">
        <v>27</v>
      </c>
      <c r="B12" s="131">
        <v>1</v>
      </c>
      <c r="C12" s="2">
        <v>1.5</v>
      </c>
      <c r="D12" s="94"/>
      <c r="E12" s="146"/>
      <c r="F12" s="2"/>
      <c r="G12" s="121"/>
      <c r="H12" s="2">
        <f t="shared" si="0"/>
        <v>0</v>
      </c>
      <c r="I12" s="129"/>
    </row>
    <row r="13" spans="1:9" ht="12.75">
      <c r="A13" s="121" t="s">
        <v>28</v>
      </c>
      <c r="B13" s="131"/>
      <c r="C13" s="2"/>
      <c r="D13" s="94"/>
      <c r="E13" s="146"/>
      <c r="F13" s="2"/>
      <c r="G13" s="121"/>
      <c r="H13" s="2">
        <f t="shared" si="0"/>
        <v>0</v>
      </c>
      <c r="I13" s="129"/>
    </row>
    <row r="14" spans="1:9" ht="12.75">
      <c r="A14" s="121" t="s">
        <v>29</v>
      </c>
      <c r="B14" s="131">
        <v>228.4</v>
      </c>
      <c r="C14" s="2">
        <v>307</v>
      </c>
      <c r="D14" s="94">
        <f>377.5</f>
        <v>377.5</v>
      </c>
      <c r="E14" s="146">
        <f>услуга!D10</f>
        <v>436.6</v>
      </c>
      <c r="F14" s="113">
        <f>'услуга на плановый год'!D10</f>
        <v>530.2</v>
      </c>
      <c r="G14" s="121">
        <v>530.2</v>
      </c>
      <c r="H14" s="2">
        <f t="shared" si="0"/>
        <v>530.2</v>
      </c>
      <c r="I14" s="129"/>
    </row>
    <row r="15" spans="1:9" ht="12.75">
      <c r="A15" s="121" t="s">
        <v>58</v>
      </c>
      <c r="B15" s="132">
        <f>B10+B11+B12+B13+B14</f>
        <v>275.3</v>
      </c>
      <c r="C15" s="13">
        <f>C10+C11+C12+C13+C14</f>
        <v>375.8</v>
      </c>
      <c r="D15" s="58">
        <f>D10+D11+D12+D13+D14</f>
        <v>399.8</v>
      </c>
      <c r="E15" s="147">
        <f>E10+E11+E12+E13+E14</f>
        <v>453.6</v>
      </c>
      <c r="F15" s="153">
        <f>F10+F11+F12+F13+F14</f>
        <v>552.7</v>
      </c>
      <c r="G15" s="158">
        <f>G10+G14</f>
        <v>552.7</v>
      </c>
      <c r="H15" s="153">
        <f t="shared" si="0"/>
        <v>552.7</v>
      </c>
      <c r="I15" s="129"/>
    </row>
    <row r="16" spans="1:9" ht="12.75" hidden="1">
      <c r="A16" s="121" t="s">
        <v>30</v>
      </c>
      <c r="B16" s="131">
        <v>7.2</v>
      </c>
      <c r="C16" s="2">
        <v>15.6</v>
      </c>
      <c r="D16" s="94">
        <v>15.6</v>
      </c>
      <c r="E16" s="148">
        <v>11.576</v>
      </c>
      <c r="F16" s="2">
        <v>24</v>
      </c>
      <c r="G16" s="121">
        <v>24</v>
      </c>
      <c r="H16" s="2">
        <f t="shared" si="0"/>
        <v>24</v>
      </c>
      <c r="I16" s="129"/>
    </row>
    <row r="17" spans="1:9" ht="12.75" hidden="1">
      <c r="A17" s="121" t="s">
        <v>31</v>
      </c>
      <c r="B17" s="131">
        <v>10.7</v>
      </c>
      <c r="C17" s="2">
        <v>34.4</v>
      </c>
      <c r="D17" s="94">
        <v>59.05</v>
      </c>
      <c r="E17" s="148">
        <v>36.83</v>
      </c>
      <c r="F17" s="113">
        <v>42.396</v>
      </c>
      <c r="G17" s="121">
        <v>42.4</v>
      </c>
      <c r="H17" s="2">
        <f t="shared" si="0"/>
        <v>42.4</v>
      </c>
      <c r="I17" s="129"/>
    </row>
    <row r="18" spans="1:9" ht="12.75" hidden="1">
      <c r="A18" s="121" t="s">
        <v>32</v>
      </c>
      <c r="B18" s="131">
        <v>195</v>
      </c>
      <c r="C18" s="2">
        <v>20</v>
      </c>
      <c r="D18" s="95">
        <v>96.5</v>
      </c>
      <c r="E18" s="146"/>
      <c r="F18" s="2"/>
      <c r="G18" s="121"/>
      <c r="H18" s="2">
        <f t="shared" si="0"/>
        <v>0</v>
      </c>
      <c r="I18" s="129"/>
    </row>
    <row r="19" spans="1:9" ht="12.75" hidden="1">
      <c r="A19" s="121" t="s">
        <v>34</v>
      </c>
      <c r="B19" s="131"/>
      <c r="C19" s="2">
        <v>21.5</v>
      </c>
      <c r="D19" s="95">
        <v>16.928</v>
      </c>
      <c r="E19" s="148">
        <v>13.2484</v>
      </c>
      <c r="F19" s="2">
        <v>8.5</v>
      </c>
      <c r="G19" s="121">
        <v>8.5</v>
      </c>
      <c r="H19" s="2">
        <f t="shared" si="0"/>
        <v>8.5</v>
      </c>
      <c r="I19" s="129"/>
    </row>
    <row r="20" spans="1:9" ht="12.75" hidden="1">
      <c r="A20" s="121" t="s">
        <v>70</v>
      </c>
      <c r="B20" s="131">
        <v>4</v>
      </c>
      <c r="C20" s="2">
        <v>6.6</v>
      </c>
      <c r="D20" s="95">
        <v>11.186</v>
      </c>
      <c r="E20" s="148">
        <f>11.18654+31.465</f>
        <v>42.65154</v>
      </c>
      <c r="F20" s="113">
        <v>29.373</v>
      </c>
      <c r="G20" s="159">
        <v>29.373</v>
      </c>
      <c r="H20" s="2">
        <f t="shared" si="0"/>
        <v>29.373</v>
      </c>
      <c r="I20" s="129"/>
    </row>
    <row r="21" spans="1:9" ht="12.75" hidden="1">
      <c r="A21" s="121" t="s">
        <v>52</v>
      </c>
      <c r="B21" s="131">
        <v>30.4</v>
      </c>
      <c r="C21" s="2"/>
      <c r="D21" s="95">
        <f>2.386+2.013</f>
        <v>4.399</v>
      </c>
      <c r="E21" s="148">
        <v>34.6</v>
      </c>
      <c r="F21" s="2"/>
      <c r="G21" s="121"/>
      <c r="H21" s="2">
        <f t="shared" si="0"/>
        <v>0</v>
      </c>
      <c r="I21" s="129"/>
    </row>
    <row r="22" spans="1:9" ht="12.75" hidden="1">
      <c r="A22" s="121" t="s">
        <v>53</v>
      </c>
      <c r="B22" s="131"/>
      <c r="C22" s="2"/>
      <c r="D22" s="95">
        <v>17.6</v>
      </c>
      <c r="E22" s="148">
        <v>13.005</v>
      </c>
      <c r="F22" s="2"/>
      <c r="G22" s="121"/>
      <c r="H22" s="2">
        <f t="shared" si="0"/>
        <v>0</v>
      </c>
      <c r="I22" s="129"/>
    </row>
    <row r="23" spans="1:9" ht="12.75" hidden="1">
      <c r="A23" s="122" t="s">
        <v>41</v>
      </c>
      <c r="B23" s="133">
        <f aca="true" t="shared" si="1" ref="B23:G23">B15+B16+B17+B18+B19+B20+B21+B22</f>
        <v>522.6</v>
      </c>
      <c r="C23" s="6">
        <f t="shared" si="1"/>
        <v>473.90000000000003</v>
      </c>
      <c r="D23" s="59">
        <f t="shared" si="1"/>
        <v>621.0630000000001</v>
      </c>
      <c r="E23" s="149">
        <f t="shared" si="1"/>
        <v>605.51094</v>
      </c>
      <c r="F23" s="6">
        <f t="shared" si="1"/>
        <v>656.969</v>
      </c>
      <c r="G23" s="122">
        <f t="shared" si="1"/>
        <v>656.9730000000001</v>
      </c>
      <c r="H23" s="13">
        <f t="shared" si="0"/>
        <v>656.9730000000001</v>
      </c>
      <c r="I23" s="129"/>
    </row>
    <row r="24" spans="1:9" ht="12.75" hidden="1">
      <c r="A24" s="120" t="s">
        <v>43</v>
      </c>
      <c r="B24" s="131"/>
      <c r="C24" s="2"/>
      <c r="D24" s="56"/>
      <c r="E24" s="145"/>
      <c r="F24" s="2"/>
      <c r="G24" s="121"/>
      <c r="H24" s="2">
        <f t="shared" si="0"/>
        <v>0</v>
      </c>
      <c r="I24" s="129"/>
    </row>
    <row r="25" spans="1:9" ht="12.75" hidden="1">
      <c r="A25" s="121" t="s">
        <v>54</v>
      </c>
      <c r="B25" s="131">
        <v>6.2</v>
      </c>
      <c r="C25" s="2">
        <v>1.7</v>
      </c>
      <c r="D25" s="94">
        <f>10.96+1.15</f>
        <v>12.110000000000001</v>
      </c>
      <c r="E25" s="146">
        <v>19.64</v>
      </c>
      <c r="F25" s="2">
        <v>28.8</v>
      </c>
      <c r="G25" s="121">
        <v>28.8</v>
      </c>
      <c r="H25" s="2">
        <f t="shared" si="0"/>
        <v>28.8</v>
      </c>
      <c r="I25" s="129"/>
    </row>
    <row r="26" spans="1:9" ht="12.75" hidden="1">
      <c r="A26" s="121" t="s">
        <v>35</v>
      </c>
      <c r="B26" s="131"/>
      <c r="C26" s="2"/>
      <c r="D26" s="94"/>
      <c r="E26" s="148">
        <v>10.36893</v>
      </c>
      <c r="F26" s="2"/>
      <c r="G26" s="121"/>
      <c r="H26" s="2">
        <f t="shared" si="0"/>
        <v>0</v>
      </c>
      <c r="I26" s="129"/>
    </row>
    <row r="27" spans="1:9" ht="12.75" hidden="1">
      <c r="A27" s="121" t="s">
        <v>55</v>
      </c>
      <c r="B27" s="131">
        <v>2</v>
      </c>
      <c r="C27" s="2">
        <v>0.4</v>
      </c>
      <c r="D27" s="94">
        <f>1.005+2.9</f>
        <v>3.905</v>
      </c>
      <c r="E27" s="148">
        <v>2.005</v>
      </c>
      <c r="F27" s="2">
        <v>3.9</v>
      </c>
      <c r="G27" s="121">
        <v>3.9</v>
      </c>
      <c r="H27" s="2">
        <f t="shared" si="0"/>
        <v>3.9</v>
      </c>
      <c r="I27" s="129"/>
    </row>
    <row r="28" spans="1:9" ht="12.75" hidden="1">
      <c r="A28" s="121" t="s">
        <v>56</v>
      </c>
      <c r="B28" s="131">
        <v>16.8</v>
      </c>
      <c r="C28" s="2">
        <v>41.4</v>
      </c>
      <c r="D28" s="94">
        <f>41.74</f>
        <v>41.74</v>
      </c>
      <c r="E28" s="148">
        <v>76.72</v>
      </c>
      <c r="F28" s="2"/>
      <c r="G28" s="121"/>
      <c r="H28" s="2">
        <f t="shared" si="0"/>
        <v>0</v>
      </c>
      <c r="I28" s="129"/>
    </row>
    <row r="29" spans="1:9" ht="38.25" hidden="1">
      <c r="A29" s="123" t="s">
        <v>36</v>
      </c>
      <c r="B29" s="131">
        <v>3.2</v>
      </c>
      <c r="C29" s="2">
        <v>3.2</v>
      </c>
      <c r="D29" s="94">
        <v>2.187</v>
      </c>
      <c r="E29" s="150"/>
      <c r="F29" s="113">
        <v>2.187</v>
      </c>
      <c r="G29" s="159">
        <v>2.187</v>
      </c>
      <c r="H29" s="2">
        <f t="shared" si="0"/>
        <v>2.187</v>
      </c>
      <c r="I29" s="129"/>
    </row>
    <row r="30" spans="1:9" ht="12.75" hidden="1">
      <c r="A30" s="121" t="s">
        <v>37</v>
      </c>
      <c r="B30" s="131">
        <v>0.9</v>
      </c>
      <c r="C30" s="2">
        <v>4.3</v>
      </c>
      <c r="D30" s="94">
        <v>3</v>
      </c>
      <c r="E30" s="146">
        <v>3.2</v>
      </c>
      <c r="F30" s="2">
        <v>3.1</v>
      </c>
      <c r="G30" s="121">
        <v>3.1</v>
      </c>
      <c r="H30" s="2">
        <f t="shared" si="0"/>
        <v>3.1</v>
      </c>
      <c r="I30" s="129"/>
    </row>
    <row r="31" spans="1:9" ht="12.75" hidden="1">
      <c r="A31" s="124" t="s">
        <v>69</v>
      </c>
      <c r="B31" s="131"/>
      <c r="C31" s="2">
        <v>27.8</v>
      </c>
      <c r="D31" s="94">
        <v>5.4</v>
      </c>
      <c r="E31" s="146">
        <v>4.95</v>
      </c>
      <c r="F31" s="2">
        <v>5.4</v>
      </c>
      <c r="G31" s="121">
        <v>5.4</v>
      </c>
      <c r="H31" s="2">
        <f t="shared" si="0"/>
        <v>5.4</v>
      </c>
      <c r="I31" s="138" t="s">
        <v>90</v>
      </c>
    </row>
    <row r="32" spans="1:9" ht="12.75" hidden="1">
      <c r="A32" s="124" t="s">
        <v>44</v>
      </c>
      <c r="B32" s="131"/>
      <c r="C32" s="2"/>
      <c r="D32" s="56"/>
      <c r="E32" s="146"/>
      <c r="F32" s="2"/>
      <c r="G32" s="121"/>
      <c r="H32" s="2">
        <f t="shared" si="0"/>
        <v>0</v>
      </c>
      <c r="I32" s="129"/>
    </row>
    <row r="33" spans="1:9" ht="25.5" hidden="1">
      <c r="A33" s="125" t="s">
        <v>61</v>
      </c>
      <c r="B33" s="131"/>
      <c r="C33" s="2"/>
      <c r="D33" s="94">
        <v>6.15</v>
      </c>
      <c r="E33" s="146">
        <f>99.934+1.3773</f>
        <v>101.3113</v>
      </c>
      <c r="F33" s="2">
        <v>8</v>
      </c>
      <c r="G33" s="121">
        <v>8</v>
      </c>
      <c r="H33" s="2">
        <v>8</v>
      </c>
      <c r="I33" s="129"/>
    </row>
    <row r="34" spans="1:9" ht="12.75" hidden="1">
      <c r="A34" s="124" t="s">
        <v>45</v>
      </c>
      <c r="B34" s="131"/>
      <c r="C34" s="2"/>
      <c r="D34" s="94">
        <v>40</v>
      </c>
      <c r="E34" s="145"/>
      <c r="F34" s="2"/>
      <c r="G34" s="121"/>
      <c r="H34" s="2">
        <f t="shared" si="0"/>
        <v>0</v>
      </c>
      <c r="I34" s="129"/>
    </row>
    <row r="35" spans="1:9" ht="12.75" hidden="1">
      <c r="A35" s="126" t="s">
        <v>46</v>
      </c>
      <c r="B35" s="134">
        <f aca="true" t="shared" si="2" ref="B35:G35">B25+B26+B27+B28+B29+B30+B31+B32+B33+B34</f>
        <v>29.099999999999998</v>
      </c>
      <c r="C35" s="11">
        <f t="shared" si="2"/>
        <v>78.8</v>
      </c>
      <c r="D35" s="59">
        <f t="shared" si="2"/>
        <v>114.492</v>
      </c>
      <c r="E35" s="151">
        <f t="shared" si="2"/>
        <v>218.19523</v>
      </c>
      <c r="F35" s="11">
        <f t="shared" si="2"/>
        <v>51.387</v>
      </c>
      <c r="G35" s="160">
        <f t="shared" si="2"/>
        <v>51.387</v>
      </c>
      <c r="H35" s="2">
        <f t="shared" si="0"/>
        <v>51.387</v>
      </c>
      <c r="I35" s="129"/>
    </row>
    <row r="36" spans="1:9" ht="12.75">
      <c r="A36" s="126" t="s">
        <v>47</v>
      </c>
      <c r="B36" s="131"/>
      <c r="C36" s="2"/>
      <c r="D36" s="56"/>
      <c r="E36" s="145"/>
      <c r="F36" s="2"/>
      <c r="G36" s="121"/>
      <c r="H36" s="2">
        <f t="shared" si="0"/>
        <v>0</v>
      </c>
      <c r="I36" s="129"/>
    </row>
    <row r="37" spans="1:9" ht="12.75">
      <c r="A37" s="177" t="s">
        <v>37</v>
      </c>
      <c r="B37" s="131"/>
      <c r="C37" s="2"/>
      <c r="D37" s="56">
        <v>3</v>
      </c>
      <c r="E37" s="145"/>
      <c r="F37" s="2"/>
      <c r="G37" s="121"/>
      <c r="H37" s="2"/>
      <c r="I37" s="129"/>
    </row>
    <row r="38" spans="1:9" ht="12.75">
      <c r="A38" s="121" t="s">
        <v>38</v>
      </c>
      <c r="B38" s="131"/>
      <c r="C38" s="2">
        <v>261</v>
      </c>
      <c r="D38" s="94">
        <v>290</v>
      </c>
      <c r="E38" s="163">
        <v>404.554</v>
      </c>
      <c r="F38" s="113">
        <v>136.712</v>
      </c>
      <c r="G38" s="159">
        <v>136.712</v>
      </c>
      <c r="H38" s="113">
        <f t="shared" si="0"/>
        <v>136.712</v>
      </c>
      <c r="I38" s="129"/>
    </row>
    <row r="39" spans="1:9" ht="12.75">
      <c r="A39" s="121" t="s">
        <v>39</v>
      </c>
      <c r="B39" s="131">
        <v>86.5</v>
      </c>
      <c r="C39" s="2">
        <v>177.9</v>
      </c>
      <c r="D39" s="94">
        <v>142</v>
      </c>
      <c r="E39" s="148">
        <v>111.646</v>
      </c>
      <c r="F39" s="113">
        <v>93.288</v>
      </c>
      <c r="G39" s="159">
        <v>93.288</v>
      </c>
      <c r="H39" s="113">
        <f t="shared" si="0"/>
        <v>93.288</v>
      </c>
      <c r="I39" s="129"/>
    </row>
    <row r="40" spans="1:9" ht="12.75">
      <c r="A40" s="122" t="s">
        <v>48</v>
      </c>
      <c r="B40" s="134">
        <f aca="true" t="shared" si="3" ref="B40:G40">B38+B39</f>
        <v>86.5</v>
      </c>
      <c r="C40" s="11">
        <f t="shared" si="3"/>
        <v>438.9</v>
      </c>
      <c r="D40" s="59">
        <f>D38+D39+D37</f>
        <v>435</v>
      </c>
      <c r="E40" s="151">
        <f>E38+E39+E37</f>
        <v>516.1999999999999</v>
      </c>
      <c r="F40" s="11">
        <f t="shared" si="3"/>
        <v>230</v>
      </c>
      <c r="G40" s="160">
        <f t="shared" si="3"/>
        <v>230</v>
      </c>
      <c r="H40" s="162">
        <f t="shared" si="0"/>
        <v>230</v>
      </c>
      <c r="I40" s="129"/>
    </row>
    <row r="41" spans="1:9" ht="12.75" hidden="1">
      <c r="A41" s="127" t="s">
        <v>49</v>
      </c>
      <c r="B41" s="131"/>
      <c r="C41" s="2"/>
      <c r="D41" s="56"/>
      <c r="E41" s="145"/>
      <c r="F41" s="2"/>
      <c r="G41" s="121"/>
      <c r="H41" s="2">
        <f t="shared" si="0"/>
        <v>0</v>
      </c>
      <c r="I41" s="129"/>
    </row>
    <row r="42" spans="1:9" ht="12.75" hidden="1">
      <c r="A42" s="121" t="s">
        <v>33</v>
      </c>
      <c r="B42" s="131"/>
      <c r="C42" s="2"/>
      <c r="D42" s="56"/>
      <c r="E42" s="145"/>
      <c r="F42" s="2"/>
      <c r="G42" s="121"/>
      <c r="H42" s="2">
        <f t="shared" si="0"/>
        <v>0</v>
      </c>
      <c r="I42" s="129"/>
    </row>
    <row r="43" spans="1:9" ht="12.75" hidden="1">
      <c r="A43" s="121" t="s">
        <v>51</v>
      </c>
      <c r="B43" s="131"/>
      <c r="C43" s="2"/>
      <c r="D43" s="95">
        <f>2.2+5.985</f>
        <v>8.185</v>
      </c>
      <c r="E43" s="146">
        <f>4.47+12.9+30+0.57+4.6+2.9</f>
        <v>55.440000000000005</v>
      </c>
      <c r="F43" s="2"/>
      <c r="G43" s="121"/>
      <c r="H43" s="2">
        <f t="shared" si="0"/>
        <v>0</v>
      </c>
      <c r="I43" s="129"/>
    </row>
    <row r="44" spans="1:9" ht="12.75" hidden="1">
      <c r="A44" s="121" t="s">
        <v>71</v>
      </c>
      <c r="B44" s="131"/>
      <c r="C44" s="2"/>
      <c r="D44" s="56"/>
      <c r="E44" s="148">
        <f>40+4.71513</f>
        <v>44.71513</v>
      </c>
      <c r="F44" s="2"/>
      <c r="G44" s="121"/>
      <c r="H44" s="2">
        <f t="shared" si="0"/>
        <v>0</v>
      </c>
      <c r="I44" s="129"/>
    </row>
    <row r="45" spans="1:9" ht="12.75" hidden="1">
      <c r="A45" s="126" t="s">
        <v>50</v>
      </c>
      <c r="B45" s="134">
        <f>B42+B43+B44</f>
        <v>0</v>
      </c>
      <c r="C45" s="11">
        <f>C42+C43+C44</f>
        <v>0</v>
      </c>
      <c r="D45" s="59">
        <f>D42+D43+D44</f>
        <v>8.185</v>
      </c>
      <c r="E45" s="151">
        <f>E43+E44</f>
        <v>100.15513000000001</v>
      </c>
      <c r="F45" s="11">
        <f>F42+F43+F44</f>
        <v>0</v>
      </c>
      <c r="G45" s="121"/>
      <c r="H45" s="2">
        <f t="shared" si="0"/>
        <v>0</v>
      </c>
      <c r="I45" s="129"/>
    </row>
    <row r="46" spans="1:9" ht="43.5" thickBot="1">
      <c r="A46" s="128" t="s">
        <v>57</v>
      </c>
      <c r="B46" s="135">
        <f>B23+B35+B40+B45</f>
        <v>638.2</v>
      </c>
      <c r="C46" s="136">
        <f>C23+C35+C40+C45</f>
        <v>991.6</v>
      </c>
      <c r="D46" s="137">
        <f>D15+D40</f>
        <v>834.8</v>
      </c>
      <c r="E46" s="152">
        <f>E15+E40</f>
        <v>969.8</v>
      </c>
      <c r="F46" s="136">
        <f>F15+F40</f>
        <v>782.7</v>
      </c>
      <c r="G46" s="161">
        <f>G15+G40</f>
        <v>782.7</v>
      </c>
      <c r="H46" s="162">
        <f>G46</f>
        <v>782.7</v>
      </c>
      <c r="I46" s="129"/>
    </row>
    <row r="47" ht="14.25">
      <c r="A47" s="44"/>
    </row>
    <row r="48" spans="1:9" ht="12.75">
      <c r="A48" s="96" t="s">
        <v>99</v>
      </c>
      <c r="I48" s="96" t="s">
        <v>91</v>
      </c>
    </row>
    <row r="50" spans="1:9" ht="12.75">
      <c r="A50" t="s">
        <v>77</v>
      </c>
      <c r="I50" s="96" t="s">
        <v>92</v>
      </c>
    </row>
    <row r="51" ht="12.75">
      <c r="EO51">
        <v>28523.8</v>
      </c>
    </row>
    <row r="53" ht="12.75">
      <c r="EO53" t="e">
        <f>#REF!+#REF!</f>
        <v>#REF!</v>
      </c>
    </row>
  </sheetData>
  <sheetProtection/>
  <mergeCells count="3">
    <mergeCell ref="A5:A8"/>
    <mergeCell ref="A1:X1"/>
    <mergeCell ref="B5:H7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4" r:id="rId1"/>
  <colBreaks count="3" manualBreakCount="3">
    <brk id="31" max="65535" man="1"/>
    <brk id="66" max="48" man="1"/>
    <brk id="13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G17"/>
  <sheetViews>
    <sheetView view="pageBreakPreview" zoomScale="60" zoomScalePageLayoutView="0" workbookViewId="0" topLeftCell="A1">
      <selection activeCell="G11" sqref="G11"/>
    </sheetView>
  </sheetViews>
  <sheetFormatPr defaultColWidth="9.140625" defaultRowHeight="12.75"/>
  <cols>
    <col min="2" max="2" width="24.7109375" style="0" customWidth="1"/>
    <col min="3" max="3" width="21.00390625" style="0" customWidth="1"/>
    <col min="4" max="4" width="11.00390625" style="0" customWidth="1"/>
  </cols>
  <sheetData>
    <row r="2" spans="2:6" ht="12.75">
      <c r="B2" s="74" t="s">
        <v>101</v>
      </c>
      <c r="C2" s="74"/>
      <c r="D2" s="74"/>
      <c r="E2" s="74"/>
      <c r="F2" s="74"/>
    </row>
    <row r="3" spans="2:7" ht="18.75">
      <c r="B3" s="74" t="s">
        <v>79</v>
      </c>
      <c r="C3" s="75">
        <v>2012</v>
      </c>
      <c r="D3" s="74"/>
      <c r="E3" s="74"/>
      <c r="F3" s="74"/>
      <c r="G3" s="74"/>
    </row>
    <row r="4" spans="2:7" ht="12.75">
      <c r="B4" s="74"/>
      <c r="C4" s="74"/>
      <c r="D4" s="74"/>
      <c r="E4" s="74"/>
      <c r="F4" s="76"/>
      <c r="G4" s="74"/>
    </row>
    <row r="5" spans="2:7" ht="18.75">
      <c r="B5" s="77" t="s">
        <v>80</v>
      </c>
      <c r="C5" s="78" t="s">
        <v>81</v>
      </c>
      <c r="D5" s="79" t="s">
        <v>82</v>
      </c>
      <c r="E5" s="79" t="s">
        <v>83</v>
      </c>
      <c r="F5" s="80"/>
      <c r="G5" s="80"/>
    </row>
    <row r="6" spans="2:7" ht="18.75">
      <c r="B6" s="81" t="s">
        <v>84</v>
      </c>
      <c r="C6" s="93">
        <f>C7+C8+C9+C10</f>
        <v>1055.85869</v>
      </c>
      <c r="D6" s="82"/>
      <c r="E6" s="83"/>
      <c r="F6" s="74"/>
      <c r="G6" s="74"/>
    </row>
    <row r="7" spans="2:7" ht="18.75">
      <c r="B7" s="84" t="s">
        <v>85</v>
      </c>
      <c r="C7" s="115">
        <v>8.9</v>
      </c>
      <c r="D7" s="85"/>
      <c r="E7" s="86">
        <f>C7-D7</f>
        <v>8.9</v>
      </c>
      <c r="F7" s="74"/>
      <c r="G7" s="74"/>
    </row>
    <row r="8" spans="2:7" ht="18.75">
      <c r="B8" s="84" t="s">
        <v>86</v>
      </c>
      <c r="C8" s="115">
        <v>3.66399</v>
      </c>
      <c r="D8" s="85"/>
      <c r="E8" s="86">
        <f>C8-D8</f>
        <v>3.66399</v>
      </c>
      <c r="F8" s="74"/>
      <c r="G8" s="74"/>
    </row>
    <row r="9" spans="2:7" ht="18.75">
      <c r="B9" s="84" t="s">
        <v>87</v>
      </c>
      <c r="C9" s="91">
        <v>170.13833</v>
      </c>
      <c r="D9" s="85">
        <f>ROUND(C9*0.1,1)</f>
        <v>17</v>
      </c>
      <c r="E9" s="86">
        <f>C9-D9</f>
        <v>153.13833</v>
      </c>
      <c r="F9" s="74"/>
      <c r="G9" s="74"/>
    </row>
    <row r="10" spans="2:7" ht="18.75">
      <c r="B10" s="84" t="s">
        <v>88</v>
      </c>
      <c r="C10" s="91">
        <f>873.15637</f>
        <v>873.15637</v>
      </c>
      <c r="D10" s="85">
        <f>ROUND(C10*0.5,1)</f>
        <v>436.6</v>
      </c>
      <c r="E10" s="87">
        <f>C10-D10</f>
        <v>436.55637</v>
      </c>
      <c r="F10" s="74"/>
      <c r="G10" s="74"/>
    </row>
    <row r="11" spans="2:7" ht="18.75">
      <c r="B11" s="88" t="s">
        <v>89</v>
      </c>
      <c r="C11" s="92">
        <f>C7+C8+C9+C10</f>
        <v>1055.85869</v>
      </c>
      <c r="D11" s="89">
        <f>D9+D10</f>
        <v>453.6</v>
      </c>
      <c r="E11" s="90">
        <f>C11-D11</f>
        <v>602.25869</v>
      </c>
      <c r="F11" s="74"/>
      <c r="G11" s="74"/>
    </row>
    <row r="12" spans="2:7" ht="12.75">
      <c r="B12" s="74"/>
      <c r="C12" s="74"/>
      <c r="D12" s="74"/>
      <c r="E12" s="74"/>
      <c r="F12" s="74"/>
      <c r="G12" s="74"/>
    </row>
    <row r="13" spans="2:7" ht="12.75">
      <c r="B13" s="74"/>
      <c r="C13" s="74"/>
      <c r="D13" s="74"/>
      <c r="E13" s="74"/>
      <c r="F13" s="74"/>
      <c r="G13" s="74"/>
    </row>
    <row r="14" spans="2:7" ht="12.75">
      <c r="B14" s="74"/>
      <c r="C14" s="74" t="s">
        <v>102</v>
      </c>
      <c r="D14" s="74"/>
      <c r="E14" s="74" t="s">
        <v>91</v>
      </c>
      <c r="F14" s="74"/>
      <c r="G14" s="74"/>
    </row>
    <row r="15" spans="2:7" ht="12.75">
      <c r="B15" s="74"/>
      <c r="C15" s="74"/>
      <c r="D15" s="74"/>
      <c r="E15" s="74"/>
      <c r="F15" s="74"/>
      <c r="G15" s="74"/>
    </row>
    <row r="16" spans="2:7" ht="12.75">
      <c r="B16" s="74"/>
      <c r="C16" s="74" t="s">
        <v>77</v>
      </c>
      <c r="D16" s="74"/>
      <c r="E16" s="74" t="s">
        <v>92</v>
      </c>
      <c r="F16" s="74"/>
      <c r="G16" s="74"/>
    </row>
    <row r="17" spans="2:7" ht="12.75">
      <c r="B17" s="74"/>
      <c r="C17" s="74"/>
      <c r="D17" s="74"/>
      <c r="E17" s="74"/>
      <c r="F17" s="74"/>
      <c r="G17" s="74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60" zoomScalePageLayoutView="0" workbookViewId="0" topLeftCell="A4">
      <selection activeCell="D20" sqref="D20"/>
    </sheetView>
  </sheetViews>
  <sheetFormatPr defaultColWidth="9.140625" defaultRowHeight="12.75"/>
  <cols>
    <col min="2" max="2" width="23.7109375" style="0" customWidth="1"/>
    <col min="3" max="3" width="13.8515625" style="0" customWidth="1"/>
    <col min="4" max="4" width="9.28125" style="0" bestFit="1" customWidth="1"/>
    <col min="5" max="5" width="9.421875" style="0" bestFit="1" customWidth="1"/>
  </cols>
  <sheetData>
    <row r="2" spans="2:5" ht="12.75">
      <c r="B2" s="74" t="s">
        <v>101</v>
      </c>
      <c r="C2" s="74"/>
      <c r="D2" s="74"/>
      <c r="E2" s="74"/>
    </row>
    <row r="3" spans="2:5" ht="18.75">
      <c r="B3" s="74" t="s">
        <v>79</v>
      </c>
      <c r="C3" s="75">
        <v>2013</v>
      </c>
      <c r="D3" s="74"/>
      <c r="E3" s="74"/>
    </row>
    <row r="4" spans="2:5" ht="12.75">
      <c r="B4" s="74"/>
      <c r="C4" s="74"/>
      <c r="D4" s="74"/>
      <c r="E4" s="74"/>
    </row>
    <row r="5" spans="2:5" ht="18.75">
      <c r="B5" s="77" t="s">
        <v>80</v>
      </c>
      <c r="C5" s="78" t="s">
        <v>81</v>
      </c>
      <c r="D5" s="79" t="s">
        <v>82</v>
      </c>
      <c r="E5" s="79" t="s">
        <v>83</v>
      </c>
    </row>
    <row r="6" spans="2:5" ht="18.75">
      <c r="B6" s="81" t="s">
        <v>84</v>
      </c>
      <c r="C6" s="93">
        <f>C7+C8+C9+C10+C11</f>
        <v>1303.07407</v>
      </c>
      <c r="D6" s="82"/>
      <c r="E6" s="83"/>
    </row>
    <row r="7" spans="2:5" ht="18.75">
      <c r="B7" s="84" t="s">
        <v>85</v>
      </c>
      <c r="C7" s="93">
        <v>7.9921</v>
      </c>
      <c r="D7" s="85"/>
      <c r="E7" s="87">
        <f>C7-D7</f>
        <v>7.9921</v>
      </c>
    </row>
    <row r="8" spans="2:5" ht="18.75">
      <c r="B8" s="84" t="s">
        <v>86</v>
      </c>
      <c r="C8" s="93">
        <v>4.58802</v>
      </c>
      <c r="D8" s="85"/>
      <c r="E8" s="87">
        <f>C8-D8</f>
        <v>4.58802</v>
      </c>
    </row>
    <row r="9" spans="2:5" ht="18.75">
      <c r="B9" s="84" t="s">
        <v>87</v>
      </c>
      <c r="C9" s="93">
        <v>225.08101</v>
      </c>
      <c r="D9" s="85">
        <f>ROUND(C9*0.1,1)</f>
        <v>22.5</v>
      </c>
      <c r="E9" s="87">
        <f>C9-D9</f>
        <v>202.58101</v>
      </c>
    </row>
    <row r="10" spans="2:5" ht="18.75">
      <c r="B10" s="84" t="s">
        <v>88</v>
      </c>
      <c r="C10" s="93">
        <f>1060.37329</f>
        <v>1060.37329</v>
      </c>
      <c r="D10" s="85">
        <f>ROUND(C10*0.5,1)</f>
        <v>530.2</v>
      </c>
      <c r="E10" s="87">
        <f>C10-D10</f>
        <v>530.17329</v>
      </c>
    </row>
    <row r="11" spans="2:5" ht="18.75">
      <c r="B11" s="84" t="s">
        <v>108</v>
      </c>
      <c r="C11" s="93">
        <v>5.03965</v>
      </c>
      <c r="D11" s="85"/>
      <c r="E11" s="87">
        <f>C11</f>
        <v>5.03965</v>
      </c>
    </row>
    <row r="12" spans="2:5" ht="18.75">
      <c r="B12" s="88" t="s">
        <v>89</v>
      </c>
      <c r="C12" s="92">
        <f>C7+C8+C9+C10+C11</f>
        <v>1303.07407</v>
      </c>
      <c r="D12" s="89">
        <f>D9+D10</f>
        <v>552.7</v>
      </c>
      <c r="E12" s="92">
        <f>C12-D12</f>
        <v>750.3740699999998</v>
      </c>
    </row>
    <row r="13" spans="2:5" ht="12.75">
      <c r="B13" s="74"/>
      <c r="C13" s="74"/>
      <c r="D13" s="74"/>
      <c r="E13" s="74"/>
    </row>
    <row r="14" spans="2:5" ht="12.75">
      <c r="B14" s="74"/>
      <c r="C14" s="74"/>
      <c r="D14" s="74"/>
      <c r="E14" s="74"/>
    </row>
    <row r="15" spans="2:5" ht="12.75">
      <c r="B15" s="74"/>
      <c r="C15" s="74" t="s">
        <v>102</v>
      </c>
      <c r="D15" s="74"/>
      <c r="E15" s="74" t="s">
        <v>91</v>
      </c>
    </row>
    <row r="16" spans="2:5" ht="12.75">
      <c r="B16" s="74"/>
      <c r="C16" s="74"/>
      <c r="D16" s="74"/>
      <c r="E16" s="74"/>
    </row>
    <row r="17" spans="2:5" ht="12.75">
      <c r="B17" s="74"/>
      <c r="C17" s="74" t="s">
        <v>77</v>
      </c>
      <c r="D17" s="74"/>
      <c r="E17" s="74" t="s">
        <v>92</v>
      </c>
    </row>
    <row r="18" spans="2:5" ht="12.75">
      <c r="B18" s="74"/>
      <c r="C18" s="74"/>
      <c r="D18" s="74"/>
      <c r="E18" s="7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ivanko</cp:lastModifiedBy>
  <cp:lastPrinted>2013-03-11T08:29:25Z</cp:lastPrinted>
  <dcterms:created xsi:type="dcterms:W3CDTF">1996-10-08T23:32:33Z</dcterms:created>
  <dcterms:modified xsi:type="dcterms:W3CDTF">2013-12-26T08:26:25Z</dcterms:modified>
  <cp:category/>
  <cp:version/>
  <cp:contentType/>
  <cp:contentStatus/>
</cp:coreProperties>
</file>